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3309BD0F-E741-4B9C-A58E-4F4E26341D63}"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<sst xmlns="http://schemas.openxmlformats.org/spreadsheetml/2006/main" count="7671" uniqueCount="2503">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</sst>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1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45" xfId="0" applyFont="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lignment horizontal="center" vertical="center"/>
    </xf>
    <xf numFmtId="0" fontId="64" fillId="24" borderId="0" xfId="0" applyFont="1" applyFill="1">
      <alignment vertical="center"/>
    </xf>
    <xf numFmtId="0" fontId="33" fillId="24" borderId="0" xfId="0" applyFont="1" applyFill="1">
      <alignment vertical="center"/>
    </xf>
    <xf numFmtId="0" fontId="96" fillId="24" borderId="0" xfId="0" applyFont="1" applyFill="1">
      <alignment vertical="center"/>
    </xf>
    <xf numFmtId="0" fontId="9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8" fillId="24" borderId="0" xfId="0" applyFont="1" applyFill="1" applyAlignment="1">
      <alignment horizontal="center" vertical="top" wrapText="1"/>
    </xf>
    <xf numFmtId="0" fontId="41" fillId="24" borderId="0" xfId="0" applyFont="1" applyFill="1" applyAlignment="1">
      <alignment vertical="center" wrapText="1"/>
    </xf>
    <xf numFmtId="0" fontId="40" fillId="24" borderId="0" xfId="0" applyFont="1" applyFill="1" applyAlignment="1">
      <alignment vertical="center" wrapText="1"/>
    </xf>
    <xf numFmtId="0" fontId="99" fillId="0" borderId="0" xfId="0" applyFont="1" applyAlignment="1">
      <alignment horizontal="center" vertical="center"/>
    </xf>
    <xf numFmtId="0" fontId="102" fillId="0" borderId="0" xfId="0" applyFont="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49" fontId="9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10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4" fillId="28" borderId="99" xfId="0" applyFont="1" applyFill="1" applyBorder="1" applyAlignment="1">
      <alignment horizontal="center"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102" fillId="0" borderId="94" xfId="0" applyFont="1" applyBorder="1" applyAlignment="1">
      <alignment horizontal="center" vertical="center"/>
    </xf>
    <xf numFmtId="0" fontId="44" fillId="28" borderId="100" xfId="0" applyFont="1" applyFill="1" applyBorder="1" applyAlignment="1">
      <alignment horizontal="center" vertical="center"/>
    </xf>
    <xf numFmtId="0" fontId="39" fillId="24" borderId="0" xfId="0" applyFont="1" applyFill="1" applyAlignment="1">
      <alignment vertical="top"/>
    </xf>
    <xf numFmtId="0" fontId="39" fillId="24" borderId="78" xfId="0" applyFont="1" applyFill="1" applyBorder="1">
      <alignment vertical="center"/>
    </xf>
    <xf numFmtId="0" fontId="44" fillId="28" borderId="101" xfId="0" applyFont="1" applyFill="1" applyBorder="1" applyAlignment="1">
      <alignment horizontal="center"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10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8" fillId="24" borderId="0" xfId="0" applyFont="1" applyFill="1">
      <alignment vertical="center"/>
    </xf>
    <xf numFmtId="49" fontId="125"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99" fillId="0" borderId="94" xfId="0" applyFont="1" applyBorder="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10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1" fillId="28" borderId="103" xfId="0" applyFont="1" applyFill="1" applyBorder="1" applyAlignment="1">
      <alignment horizontal="center" vertical="center" wrapText="1"/>
    </xf>
    <xf numFmtId="0" fontId="102" fillId="0" borderId="0" xfId="0" applyFont="1" applyAlignment="1">
      <alignment horizontal="center" vertical="center"/>
    </xf>
    <xf numFmtId="0" fontId="45" fillId="0" borderId="113" xfId="0" applyFont="1" applyBorder="1">
      <alignment vertical="center"/>
    </xf>
    <xf numFmtId="0" fontId="41" fillId="28" borderId="104" xfId="0" applyFont="1" applyFill="1" applyBorder="1" applyAlignment="1">
      <alignment horizontal="center" vertical="center" wrapText="1"/>
    </xf>
    <xf numFmtId="0" fontId="50" fillId="24" borderId="0" xfId="0" applyFont="1" applyFill="1">
      <alignment vertical="center"/>
    </xf>
    <xf numFmtId="0" fontId="41" fillId="28" borderId="81" xfId="0" applyFont="1" applyFill="1" applyBorder="1" applyAlignment="1">
      <alignment horizontal="center" vertical="center" wrapText="1"/>
    </xf>
    <xf numFmtId="0" fontId="41" fillId="28" borderId="110" xfId="0" applyFont="1" applyFill="1" applyBorder="1" applyAlignment="1">
      <alignment horizontal="center" vertical="center" wrapText="1"/>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9" fillId="24" borderId="0" xfId="0" applyFont="1" applyFill="1">
      <alignment vertical="center"/>
    </xf>
    <xf numFmtId="0" fontId="110" fillId="24" borderId="0" xfId="0" applyFont="1" applyFill="1">
      <alignment vertical="center"/>
    </xf>
    <xf numFmtId="0" fontId="110" fillId="24" borderId="0" xfId="0" applyFont="1" applyFill="1" applyAlignment="1">
      <alignment vertical="center" wrapText="1"/>
    </xf>
    <xf numFmtId="0" fontId="111" fillId="24" borderId="0" xfId="0" applyFont="1" applyFill="1" applyAlignment="1">
      <alignment vertical="center" wrapText="1"/>
    </xf>
    <xf numFmtId="0" fontId="37" fillId="24" borderId="53" xfId="0" applyFont="1" applyFill="1" applyBorder="1" applyAlignment="1">
      <alignment horizontal="center" vertical="center"/>
    </xf>
    <xf numFmtId="0" fontId="112" fillId="0" borderId="0" xfId="0" applyFont="1" applyAlignment="1">
      <alignment horizontal="center" vertical="center" wrapText="1"/>
    </xf>
    <xf numFmtId="0" fontId="112" fillId="24" borderId="0" xfId="0" applyFont="1" applyFill="1" applyAlignment="1">
      <alignment horizontal="center" vertical="center" wrapText="1"/>
    </xf>
    <xf numFmtId="0" fontId="97" fillId="24" borderId="0" xfId="0" applyFont="1" applyFill="1">
      <alignment vertical="center"/>
    </xf>
    <xf numFmtId="0" fontId="114" fillId="24" borderId="0" xfId="0" applyFont="1" applyFill="1" applyAlignment="1">
      <alignment vertical="center" shrinkToFit="1"/>
    </xf>
    <xf numFmtId="0" fontId="114" fillId="24" borderId="0" xfId="0" applyFont="1" applyFill="1">
      <alignment vertical="center"/>
    </xf>
    <xf numFmtId="0" fontId="114" fillId="24" borderId="0" xfId="0" applyFont="1" applyFill="1" applyAlignment="1">
      <alignment horizontal="left" vertical="center"/>
    </xf>
    <xf numFmtId="0" fontId="95" fillId="24" borderId="0" xfId="0" applyFont="1" applyFill="1">
      <alignment vertical="center"/>
    </xf>
    <xf numFmtId="49" fontId="114"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6"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35" fillId="24" borderId="0" xfId="0" applyFont="1" applyFill="1" applyAlignment="1">
      <alignment vertical="center" wrapText="1"/>
    </xf>
    <xf numFmtId="0" fontId="95" fillId="24" borderId="0" xfId="0" applyFont="1" applyFill="1" applyAlignment="1">
      <alignment vertical="center" wrapText="1"/>
    </xf>
    <xf numFmtId="0" fontId="95" fillId="0" borderId="0" xfId="0" applyFont="1" applyAlignment="1">
      <alignment vertical="center" wrapText="1"/>
    </xf>
    <xf numFmtId="0" fontId="0" fillId="24" borderId="45" xfId="0" applyFill="1" applyBorder="1" applyAlignment="1">
      <alignment horizontal="left" vertical="center"/>
    </xf>
    <xf numFmtId="184" fontId="56" fillId="24" borderId="60" xfId="0" applyNumberFormat="1" applyFont="1" applyFill="1" applyBorder="1">
      <alignment vertical="center"/>
    </xf>
    <xf numFmtId="0" fontId="109" fillId="29" borderId="0" xfId="0" applyFont="1" applyFill="1" applyAlignment="1">
      <alignment vertical="center" wrapText="1"/>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6" fillId="24" borderId="0" xfId="0" applyFont="1" applyFill="1" applyAlignment="1">
      <alignment horizontal="center" vertical="center" shrinkToFit="1"/>
    </xf>
    <xf numFmtId="0" fontId="113" fillId="29" borderId="0" xfId="0" applyFont="1" applyFill="1" applyAlignment="1">
      <alignment horizontal="center" vertical="center"/>
    </xf>
    <xf numFmtId="0" fontId="117" fillId="0" borderId="0" xfId="0" applyFont="1" applyAlignment="1">
      <alignment horizontal="center" vertical="center" wrapText="1" shrinkToFit="1"/>
    </xf>
    <xf numFmtId="0" fontId="116" fillId="24" borderId="0" xfId="0" applyFont="1" applyFill="1">
      <alignment vertical="center"/>
    </xf>
    <xf numFmtId="0" fontId="117" fillId="25" borderId="53" xfId="0" applyFont="1" applyFill="1" applyBorder="1" applyAlignment="1">
      <alignment horizontal="center" vertical="center" wrapText="1" shrinkToFit="1"/>
    </xf>
    <xf numFmtId="0" fontId="117" fillId="25" borderId="53" xfId="0" applyFont="1" applyFill="1" applyBorder="1" applyAlignment="1">
      <alignment horizontal="center" vertical="center" wrapText="1"/>
    </xf>
    <xf numFmtId="0" fontId="35" fillId="24" borderId="0" xfId="0" applyFont="1" applyFill="1" applyAlignment="1">
      <alignment horizontal="left" vertical="center" wrapText="1"/>
    </xf>
    <xf numFmtId="0" fontId="113" fillId="24" borderId="0" xfId="0" applyFont="1" applyFill="1">
      <alignment vertical="center"/>
    </xf>
    <xf numFmtId="0" fontId="113" fillId="24" borderId="0" xfId="0" applyFont="1" applyFill="1" applyAlignment="1">
      <alignment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9" fillId="0" borderId="0" xfId="0" applyFont="1" applyAlignment="1">
      <alignment horizontal="left" vertical="center" wrapText="1"/>
    </xf>
    <xf numFmtId="0" fontId="109" fillId="0" borderId="112" xfId="0" applyFont="1" applyBorder="1" applyAlignment="1">
      <alignment horizontal="left"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119" fillId="0" borderId="0" xfId="0" applyFont="1" applyAlignment="1">
      <alignment horizontal="center" vertical="center" wrapText="1"/>
    </xf>
    <xf numFmtId="0" fontId="66" fillId="0" borderId="94" xfId="0" applyFont="1" applyBorder="1" applyAlignment="1">
      <alignment vertical="center" wrapText="1"/>
    </xf>
    <xf numFmtId="0" fontId="66" fillId="0" borderId="98" xfId="0" applyFont="1" applyBorder="1" applyAlignment="1">
      <alignment vertical="center" wrapText="1"/>
    </xf>
    <xf numFmtId="0" fontId="66" fillId="0" borderId="97" xfId="0" applyFont="1" applyBorder="1" applyAlignment="1">
      <alignment vertical="center" wrapText="1"/>
    </xf>
    <xf numFmtId="0" fontId="116" fillId="0" borderId="94" xfId="0" applyFont="1" applyBorder="1" applyAlignment="1">
      <alignment horizontal="center" vertical="center" wrapText="1"/>
    </xf>
    <xf numFmtId="0" fontId="66" fillId="0" borderId="113" xfId="0" applyFont="1" applyBorder="1" applyAlignment="1">
      <alignment vertical="center" wrapText="1"/>
    </xf>
    <xf numFmtId="0" fontId="66" fillId="0" borderId="0" xfId="0" applyFont="1" applyAlignment="1">
      <alignment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6" fillId="0" borderId="107" xfId="0" applyFont="1" applyBorder="1" applyAlignment="1">
      <alignment horizontal="center" vertical="center" wrapText="1"/>
    </xf>
    <xf numFmtId="0" fontId="66" fillId="0" borderId="98" xfId="0" applyFont="1" applyBorder="1" applyAlignment="1">
      <alignment horizontal="center" vertical="center"/>
    </xf>
    <xf numFmtId="0" fontId="66" fillId="0" borderId="94" xfId="0" applyFont="1" applyBorder="1" applyAlignment="1">
      <alignment horizontal="center" vertical="center"/>
    </xf>
    <xf numFmtId="0" fontId="66" fillId="0" borderId="94" xfId="0" applyFont="1" applyBorder="1" applyAlignment="1">
      <alignment horizontal="center" vertical="center" wrapText="1"/>
    </xf>
    <xf numFmtId="0" fontId="66" fillId="0" borderId="108" xfId="0" applyFont="1" applyBorder="1" applyAlignment="1">
      <alignment horizontal="center" vertical="center" wrapText="1"/>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99" fillId="0" borderId="107" xfId="0" applyFont="1" applyBorder="1" applyAlignment="1">
      <alignment horizontal="center" vertical="center" wrapText="1"/>
    </xf>
    <xf numFmtId="0" fontId="99" fillId="0" borderId="10" xfId="0" applyFont="1" applyBorder="1" applyAlignment="1">
      <alignment horizontal="center" vertical="center"/>
    </xf>
    <xf numFmtId="0" fontId="99" fillId="0" borderId="10" xfId="0" applyFont="1" applyBorder="1" applyAlignment="1">
      <alignment horizontal="center"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102" fillId="0" borderId="10" xfId="0" applyFont="1" applyBorder="1" applyAlignment="1">
      <alignment horizontal="center" vertical="center"/>
    </xf>
    <xf numFmtId="0" fontId="66" fillId="0" borderId="10" xfId="0" applyFont="1" applyBorder="1" applyAlignment="1">
      <alignment horizontal="center" vertical="center"/>
    </xf>
    <xf numFmtId="0" fontId="99" fillId="0" borderId="94" xfId="0" applyFont="1" applyBorder="1" applyAlignment="1">
      <alignment horizontal="center" vertical="center"/>
    </xf>
    <xf numFmtId="0" fontId="102"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3" fillId="29" borderId="0" xfId="0" applyFont="1" applyFill="1" applyAlignment="1">
      <alignment horizontal="center" vertical="center"/>
    </xf>
    <xf numFmtId="0" fontId="117" fillId="25" borderId="22" xfId="0" applyFont="1" applyFill="1" applyBorder="1" applyAlignment="1">
      <alignment horizontal="center" vertical="center"/>
    </xf>
    <xf numFmtId="0" fontId="117" fillId="25" borderId="26" xfId="0" applyFont="1" applyFill="1" applyBorder="1" applyAlignment="1">
      <alignment horizontal="center" vertical="center"/>
    </xf>
    <xf numFmtId="0" fontId="66"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5" fillId="24" borderId="12" xfId="0" applyFont="1" applyFill="1" applyBorder="1" applyAlignment="1">
      <alignment horizontal="left" vertical="center" wrapText="1"/>
    </xf>
    <xf numFmtId="0" fontId="115" fillId="24" borderId="29" xfId="0" applyFont="1" applyFill="1" applyBorder="1" applyAlignment="1">
      <alignment horizontal="left" vertical="center" wrapText="1"/>
    </xf>
    <xf numFmtId="0" fontId="115"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7022" y="25188333"/>
              <a:ext cx="14522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7022" y="11566961"/>
              <a:ext cx="145228" cy="298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7022" y="4581961"/>
              <a:ext cx="145228" cy="42146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7022" y="24056581"/>
              <a:ext cx="145228" cy="11317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7022" y="11492255"/>
              <a:ext cx="14522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7022" y="25188333"/>
              <a:ext cx="145228" cy="2168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1286" y="30778824"/>
              <a:ext cx="195032" cy="3826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1286" y="30778824"/>
              <a:ext cx="195032" cy="3826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7022" y="19004716"/>
              <a:ext cx="145228" cy="49968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7022" y="23787598"/>
              <a:ext cx="145228" cy="267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7022" y="19000906"/>
              <a:ext cx="149038" cy="49968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7022" y="23787598"/>
              <a:ext cx="149038" cy="267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7022" y="19000906"/>
              <a:ext cx="149038" cy="50543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7022" y="23980588"/>
              <a:ext cx="149038"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7022" y="19004716"/>
              <a:ext cx="145228" cy="50505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7022" y="23980588"/>
              <a:ext cx="145228"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7022" y="20712206"/>
              <a:ext cx="149038" cy="192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7022" y="20712206"/>
              <a:ext cx="145228" cy="192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7022" y="23594608"/>
              <a:ext cx="145228" cy="192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7022" y="23594608"/>
              <a:ext cx="149038" cy="192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69816" y="22741716"/>
              <a:ext cx="145228" cy="354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69816" y="22741716"/>
              <a:ext cx="149038" cy="354853"/>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73023" y="27056"/>
          <a:ext cx="6439573" cy="322265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7022" y="11566961"/>
              <a:ext cx="145228" cy="29882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37250" y="78468"/>
          <a:ext cx="11021785"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31330" y="75213"/>
          <a:ext cx="1101271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30" zoomScale="104" zoomScaleNormal="67" zoomScaleSheetLayoutView="80" workbookViewId="0">
      <selection activeCell="W33" sqref="W33"/>
    </sheetView>
  </sheetViews>
  <sheetFormatPr defaultColWidth="9" defaultRowHeight="20.149999999999999" customHeight="1"/>
  <cols>
    <col min="1" max="1" width="6.36328125" style="27" customWidth="1"/>
    <col min="2" max="11" width="0.90625" style="27" customWidth="1"/>
    <col min="12" max="17" width="1.36328125" style="27" customWidth="1"/>
    <col min="18" max="18" width="2.6328125" style="27" customWidth="1"/>
    <col min="19" max="19" width="1.36328125" style="27" customWidth="1"/>
    <col min="20" max="20" width="3.36328125" style="27" customWidth="1"/>
    <col min="21" max="21" width="1.7265625" style="27" customWidth="1"/>
    <col min="22" max="22" width="7.36328125" style="27" customWidth="1"/>
    <col min="23" max="23" width="14.36328125" style="27" customWidth="1"/>
    <col min="24" max="24" width="10.36328125" style="27" customWidth="1"/>
    <col min="25" max="25" width="4.90625" style="27" customWidth="1"/>
    <col min="26" max="26" width="10.26953125" style="27" customWidth="1"/>
    <col min="27" max="27" width="10.6328125" style="27" customWidth="1"/>
    <col min="28" max="28" width="10.90625" style="55" customWidth="1"/>
    <col min="29" max="29" width="2.7265625" style="55" customWidth="1"/>
    <col min="30" max="30" width="12.36328125" style="55" customWidth="1"/>
    <col min="31" max="31" width="10.90625" style="27" customWidth="1"/>
    <col min="32" max="32" width="9.36328125" style="27"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5" customFormat="1" ht="43.9" customHeight="1">
      <c r="A1" s="680" t="s">
        <v>0</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46"/>
      <c r="AO1" s="47" t="s">
        <v>1</v>
      </c>
    </row>
    <row r="2" spans="1:41" s="45" customFormat="1" ht="28.9" customHeight="1">
      <c r="A2" s="679" t="s">
        <v>2</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48"/>
    </row>
    <row r="3" spans="1:41" s="50" customFormat="1" ht="19.149999999999999" customHeight="1">
      <c r="A3" s="703" t="s">
        <v>3</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49"/>
    </row>
    <row r="4" spans="1:41" s="45" customFormat="1" ht="40.9" customHeight="1">
      <c r="A4" s="704" t="s">
        <v>2492</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row>
    <row r="5" spans="1:41" ht="20.149999999999999"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49999999999999"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49999999999999" customHeight="1">
      <c r="A10" s="52" t="s">
        <v>2499</v>
      </c>
      <c r="B10" s="41"/>
      <c r="AE10" s="41"/>
      <c r="AF10" s="41"/>
    </row>
    <row r="11" spans="1:41" ht="19.899999999999999" customHeight="1">
      <c r="A11" s="52" t="s">
        <v>5</v>
      </c>
      <c r="B11" s="123"/>
      <c r="C11" s="697"/>
      <c r="D11" s="698"/>
      <c r="E11" s="698"/>
      <c r="F11" s="698"/>
      <c r="G11" s="698"/>
      <c r="H11" s="698"/>
      <c r="I11" s="698"/>
      <c r="J11" s="698"/>
      <c r="K11" s="698"/>
      <c r="L11" s="698"/>
      <c r="M11" s="698"/>
      <c r="N11" s="698"/>
      <c r="O11" s="698"/>
      <c r="P11" s="698"/>
      <c r="Q11" s="698"/>
      <c r="R11" s="699"/>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49999999999999"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5" customHeight="1">
      <c r="A14" s="691" t="s">
        <v>8</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27"/>
      <c r="AC14" s="27"/>
      <c r="AD14" s="27"/>
      <c r="AE14" s="27"/>
      <c r="AF14" s="27"/>
    </row>
    <row r="15" spans="1:41" ht="20.149999999999999" customHeight="1">
      <c r="A15" s="695" t="s">
        <v>9</v>
      </c>
      <c r="B15" s="654" t="s">
        <v>10</v>
      </c>
      <c r="C15" s="654"/>
      <c r="D15" s="654"/>
      <c r="E15" s="654"/>
      <c r="F15" s="654"/>
      <c r="G15" s="654"/>
      <c r="H15" s="654"/>
      <c r="I15" s="654"/>
      <c r="J15" s="654"/>
      <c r="K15" s="654"/>
      <c r="L15" s="656"/>
      <c r="M15" s="657"/>
      <c r="N15" s="657"/>
      <c r="O15" s="657"/>
      <c r="P15" s="657"/>
      <c r="Q15" s="657"/>
      <c r="R15" s="657"/>
      <c r="S15" s="657"/>
      <c r="T15" s="657"/>
      <c r="U15" s="657"/>
      <c r="V15" s="657"/>
      <c r="W15" s="657"/>
      <c r="X15" s="657"/>
      <c r="Y15" s="657"/>
      <c r="Z15" s="657"/>
      <c r="AA15" s="657"/>
      <c r="AB15" s="657"/>
      <c r="AC15" s="657"/>
      <c r="AD15" s="657"/>
      <c r="AE15" s="657"/>
      <c r="AF15" s="658"/>
    </row>
    <row r="16" spans="1:41" ht="20.149999999999999" customHeight="1">
      <c r="A16" s="696"/>
      <c r="B16" s="654" t="s">
        <v>11</v>
      </c>
      <c r="C16" s="654"/>
      <c r="D16" s="654"/>
      <c r="E16" s="654"/>
      <c r="F16" s="654"/>
      <c r="G16" s="654"/>
      <c r="H16" s="654"/>
      <c r="I16" s="654"/>
      <c r="J16" s="654"/>
      <c r="K16" s="654"/>
      <c r="L16" s="656"/>
      <c r="M16" s="657"/>
      <c r="N16" s="657"/>
      <c r="O16" s="657"/>
      <c r="P16" s="657"/>
      <c r="Q16" s="657"/>
      <c r="R16" s="657"/>
      <c r="S16" s="657"/>
      <c r="T16" s="657"/>
      <c r="U16" s="657"/>
      <c r="V16" s="657"/>
      <c r="W16" s="657"/>
      <c r="X16" s="657"/>
      <c r="Y16" s="657"/>
      <c r="Z16" s="657"/>
      <c r="AA16" s="657"/>
      <c r="AB16" s="657"/>
      <c r="AC16" s="657"/>
      <c r="AD16" s="657"/>
      <c r="AE16" s="657"/>
      <c r="AF16" s="658"/>
    </row>
    <row r="17" spans="1:41" ht="20.149999999999999" customHeight="1">
      <c r="A17" s="643" t="s">
        <v>12</v>
      </c>
      <c r="B17" s="654" t="s">
        <v>13</v>
      </c>
      <c r="C17" s="654"/>
      <c r="D17" s="654"/>
      <c r="E17" s="654"/>
      <c r="F17" s="654"/>
      <c r="G17" s="654"/>
      <c r="H17" s="654"/>
      <c r="I17" s="654"/>
      <c r="J17" s="654"/>
      <c r="K17" s="654"/>
      <c r="L17" s="659"/>
      <c r="M17" s="660"/>
      <c r="N17" s="660"/>
      <c r="O17" s="661"/>
      <c r="P17" s="111" t="s">
        <v>14</v>
      </c>
      <c r="Q17" s="662"/>
      <c r="R17" s="663"/>
      <c r="S17" s="663"/>
      <c r="T17" s="663"/>
      <c r="U17" s="664"/>
      <c r="V17" s="41"/>
      <c r="W17" s="41"/>
      <c r="X17" s="41"/>
      <c r="Y17" s="41"/>
      <c r="Z17" s="41"/>
      <c r="AB17" s="27"/>
      <c r="AC17" s="27"/>
      <c r="AD17" s="27"/>
      <c r="AO17" s="32" t="s">
        <v>15</v>
      </c>
    </row>
    <row r="18" spans="1:41" ht="44" customHeight="1">
      <c r="A18" s="652"/>
      <c r="B18" s="655" t="s">
        <v>16</v>
      </c>
      <c r="C18" s="655"/>
      <c r="D18" s="655"/>
      <c r="E18" s="655"/>
      <c r="F18" s="655"/>
      <c r="G18" s="655"/>
      <c r="H18" s="655"/>
      <c r="I18" s="655"/>
      <c r="J18" s="655"/>
      <c r="K18" s="655"/>
      <c r="L18" s="656"/>
      <c r="M18" s="657"/>
      <c r="N18" s="657"/>
      <c r="O18" s="657"/>
      <c r="P18" s="657"/>
      <c r="Q18" s="657"/>
      <c r="R18" s="657"/>
      <c r="S18" s="657"/>
      <c r="T18" s="657"/>
      <c r="U18" s="657"/>
      <c r="V18" s="657"/>
      <c r="W18" s="657"/>
      <c r="X18" s="657"/>
      <c r="Y18" s="657"/>
      <c r="Z18" s="657"/>
      <c r="AA18" s="657"/>
      <c r="AB18" s="657"/>
      <c r="AC18" s="657"/>
      <c r="AD18" s="657"/>
      <c r="AE18" s="657"/>
      <c r="AF18" s="658"/>
      <c r="AO18" s="32" t="str">
        <f>L17&amp;"-"&amp;Q17</f>
        <v>-</v>
      </c>
    </row>
    <row r="19" spans="1:41" ht="38.25" customHeight="1">
      <c r="A19" s="653"/>
      <c r="B19" s="655" t="s">
        <v>17</v>
      </c>
      <c r="C19" s="655"/>
      <c r="D19" s="655"/>
      <c r="E19" s="655"/>
      <c r="F19" s="655"/>
      <c r="G19" s="655"/>
      <c r="H19" s="655"/>
      <c r="I19" s="655"/>
      <c r="J19" s="655"/>
      <c r="K19" s="655"/>
      <c r="L19" s="700"/>
      <c r="M19" s="701"/>
      <c r="N19" s="701"/>
      <c r="O19" s="701"/>
      <c r="P19" s="701"/>
      <c r="Q19" s="701"/>
      <c r="R19" s="701"/>
      <c r="S19" s="701"/>
      <c r="T19" s="701"/>
      <c r="U19" s="701"/>
      <c r="V19" s="701"/>
      <c r="W19" s="701"/>
      <c r="X19" s="701"/>
      <c r="Y19" s="701"/>
      <c r="Z19" s="701"/>
      <c r="AA19" s="701"/>
      <c r="AB19" s="701"/>
      <c r="AC19" s="701"/>
      <c r="AD19" s="701"/>
      <c r="AE19" s="701"/>
      <c r="AF19" s="702"/>
    </row>
    <row r="20" spans="1:41" ht="30" customHeight="1">
      <c r="A20" s="685" t="s">
        <v>18</v>
      </c>
      <c r="B20" s="684" t="s">
        <v>19</v>
      </c>
      <c r="C20" s="654"/>
      <c r="D20" s="654"/>
      <c r="E20" s="654"/>
      <c r="F20" s="654"/>
      <c r="G20" s="654"/>
      <c r="H20" s="654"/>
      <c r="I20" s="654"/>
      <c r="J20" s="654"/>
      <c r="K20" s="654"/>
      <c r="L20" s="668"/>
      <c r="M20" s="669"/>
      <c r="N20" s="669"/>
      <c r="O20" s="669"/>
      <c r="P20" s="669"/>
      <c r="Q20" s="669"/>
      <c r="R20" s="669"/>
      <c r="S20" s="669"/>
      <c r="T20" s="669"/>
      <c r="U20" s="669"/>
      <c r="V20" s="669"/>
      <c r="W20" s="669"/>
      <c r="X20" s="669"/>
      <c r="Y20" s="669"/>
      <c r="Z20" s="669"/>
      <c r="AA20" s="669"/>
      <c r="AB20" s="669"/>
      <c r="AC20" s="669"/>
      <c r="AD20" s="669"/>
      <c r="AE20" s="669"/>
      <c r="AF20" s="670"/>
    </row>
    <row r="21" spans="1:41" ht="19.5" customHeight="1">
      <c r="A21" s="686"/>
      <c r="B21" s="683" t="s">
        <v>20</v>
      </c>
      <c r="C21" s="683"/>
      <c r="D21" s="683"/>
      <c r="E21" s="683"/>
      <c r="F21" s="683"/>
      <c r="G21" s="683"/>
      <c r="H21" s="683"/>
      <c r="I21" s="683"/>
      <c r="J21" s="683"/>
      <c r="K21" s="684"/>
      <c r="L21" s="668"/>
      <c r="M21" s="669"/>
      <c r="N21" s="669"/>
      <c r="O21" s="669"/>
      <c r="P21" s="669"/>
      <c r="Q21" s="669"/>
      <c r="R21" s="669"/>
      <c r="S21" s="669"/>
      <c r="T21" s="669"/>
      <c r="U21" s="669"/>
      <c r="V21" s="669"/>
      <c r="W21" s="669"/>
      <c r="X21" s="669"/>
      <c r="Y21" s="669"/>
      <c r="Z21" s="669"/>
      <c r="AA21" s="669"/>
      <c r="AB21" s="669"/>
      <c r="AC21" s="669"/>
      <c r="AD21" s="669"/>
      <c r="AE21" s="669"/>
      <c r="AF21" s="670"/>
    </row>
    <row r="22" spans="1:41" ht="20.149999999999999" customHeight="1">
      <c r="A22" s="692" t="s">
        <v>21</v>
      </c>
      <c r="B22" s="693"/>
      <c r="C22" s="693"/>
      <c r="D22" s="693"/>
      <c r="E22" s="693"/>
      <c r="F22" s="693"/>
      <c r="G22" s="693"/>
      <c r="H22" s="693"/>
      <c r="I22" s="693"/>
      <c r="J22" s="693"/>
      <c r="K22" s="694"/>
      <c r="L22" s="665"/>
      <c r="M22" s="666"/>
      <c r="N22" s="666"/>
      <c r="O22" s="666"/>
      <c r="P22" s="666"/>
      <c r="Q22" s="666"/>
      <c r="R22" s="666"/>
      <c r="S22" s="666"/>
      <c r="T22" s="666"/>
      <c r="U22" s="666"/>
      <c r="V22" s="667"/>
      <c r="W22" s="42"/>
      <c r="X22" s="42"/>
      <c r="Y22" s="42"/>
      <c r="Z22" s="42"/>
      <c r="AA22" s="43"/>
      <c r="AB22" s="43"/>
      <c r="AC22" s="43"/>
      <c r="AD22" s="43"/>
      <c r="AE22" s="43"/>
      <c r="AF22" s="43"/>
      <c r="AI22" s="22"/>
    </row>
    <row r="23" spans="1:41" ht="20.149999999999999" customHeight="1">
      <c r="A23" s="681" t="s">
        <v>22</v>
      </c>
      <c r="B23" s="654" t="s">
        <v>10</v>
      </c>
      <c r="C23" s="654"/>
      <c r="D23" s="654"/>
      <c r="E23" s="654"/>
      <c r="F23" s="654"/>
      <c r="G23" s="654"/>
      <c r="H23" s="654"/>
      <c r="I23" s="654"/>
      <c r="J23" s="654"/>
      <c r="K23" s="654"/>
      <c r="L23" s="668"/>
      <c r="M23" s="669"/>
      <c r="N23" s="669"/>
      <c r="O23" s="669"/>
      <c r="P23" s="669"/>
      <c r="Q23" s="669"/>
      <c r="R23" s="669"/>
      <c r="S23" s="669"/>
      <c r="T23" s="669"/>
      <c r="U23" s="669"/>
      <c r="V23" s="669"/>
      <c r="W23" s="669"/>
      <c r="X23" s="670"/>
      <c r="Y23" s="42"/>
      <c r="Z23" s="42"/>
      <c r="AA23" s="43"/>
      <c r="AB23" s="43"/>
      <c r="AC23" s="43"/>
      <c r="AD23" s="43"/>
      <c r="AE23" s="43"/>
      <c r="AF23" s="43"/>
    </row>
    <row r="24" spans="1:41" ht="20.149999999999999" customHeight="1">
      <c r="A24" s="682"/>
      <c r="B24" s="690" t="s">
        <v>20</v>
      </c>
      <c r="C24" s="690"/>
      <c r="D24" s="690"/>
      <c r="E24" s="690"/>
      <c r="F24" s="690"/>
      <c r="G24" s="690"/>
      <c r="H24" s="690"/>
      <c r="I24" s="690"/>
      <c r="J24" s="690"/>
      <c r="K24" s="690"/>
      <c r="L24" s="668"/>
      <c r="M24" s="669"/>
      <c r="N24" s="669"/>
      <c r="O24" s="669"/>
      <c r="P24" s="669"/>
      <c r="Q24" s="669"/>
      <c r="R24" s="669"/>
      <c r="S24" s="669"/>
      <c r="T24" s="669"/>
      <c r="U24" s="669"/>
      <c r="V24" s="669"/>
      <c r="W24" s="669"/>
      <c r="X24" s="670"/>
      <c r="Y24" s="42"/>
      <c r="Z24" s="42"/>
      <c r="AA24" s="43"/>
      <c r="AB24" s="43"/>
      <c r="AC24" s="43"/>
      <c r="AD24" s="43"/>
      <c r="AE24" s="43"/>
      <c r="AF24" s="43"/>
    </row>
    <row r="25" spans="1:41" ht="20.149999999999999" customHeight="1">
      <c r="A25" s="643" t="s">
        <v>23</v>
      </c>
      <c r="B25" s="654" t="s">
        <v>24</v>
      </c>
      <c r="C25" s="654"/>
      <c r="D25" s="654"/>
      <c r="E25" s="654"/>
      <c r="F25" s="654"/>
      <c r="G25" s="654"/>
      <c r="H25" s="654"/>
      <c r="I25" s="654"/>
      <c r="J25" s="654"/>
      <c r="K25" s="654"/>
      <c r="L25" s="668"/>
      <c r="M25" s="669"/>
      <c r="N25" s="669"/>
      <c r="O25" s="669"/>
      <c r="P25" s="669"/>
      <c r="Q25" s="669"/>
      <c r="R25" s="669"/>
      <c r="S25" s="669"/>
      <c r="T25" s="669"/>
      <c r="U25" s="669"/>
      <c r="V25" s="669"/>
      <c r="W25" s="669"/>
      <c r="X25" s="670"/>
      <c r="Y25" s="42"/>
      <c r="Z25" s="42"/>
      <c r="AA25" s="43"/>
      <c r="AB25" s="43"/>
      <c r="AC25" s="43"/>
      <c r="AD25" s="43"/>
      <c r="AE25" s="43"/>
      <c r="AF25" s="43"/>
    </row>
    <row r="26" spans="1:41" ht="20.149999999999999" customHeight="1">
      <c r="A26" s="653"/>
      <c r="B26" s="654" t="s">
        <v>25</v>
      </c>
      <c r="C26" s="654"/>
      <c r="D26" s="654"/>
      <c r="E26" s="654"/>
      <c r="F26" s="654"/>
      <c r="G26" s="654"/>
      <c r="H26" s="654"/>
      <c r="I26" s="654"/>
      <c r="J26" s="654"/>
      <c r="K26" s="654"/>
      <c r="L26" s="687"/>
      <c r="M26" s="688"/>
      <c r="N26" s="688"/>
      <c r="O26" s="688"/>
      <c r="P26" s="688"/>
      <c r="Q26" s="688"/>
      <c r="R26" s="688"/>
      <c r="S26" s="688"/>
      <c r="T26" s="688"/>
      <c r="U26" s="688"/>
      <c r="V26" s="688"/>
      <c r="W26" s="688"/>
      <c r="X26" s="689"/>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49999999999999"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49999999999999"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5" customHeight="1" thickBot="1">
      <c r="A30" s="679" t="s">
        <v>28</v>
      </c>
      <c r="B30" s="67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row>
    <row r="31" spans="1:41" s="45" customFormat="1" ht="23.5" customHeight="1" thickBot="1">
      <c r="A31" s="709" t="s">
        <v>29</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61" t="str">
        <f>IF(L16="","",IF(AND(W33="✓",W34="✓",W35="✓",W36="✓"),"○","×"))</f>
        <v/>
      </c>
    </row>
    <row r="32" spans="1:41" s="45" customFormat="1" ht="17.5" customHeight="1" thickBot="1">
      <c r="A32" s="132" t="s">
        <v>30</v>
      </c>
      <c r="B32" s="130"/>
      <c r="C32" s="130"/>
      <c r="D32" s="130"/>
      <c r="E32" s="130"/>
      <c r="F32" s="130"/>
      <c r="G32" s="130"/>
      <c r="H32" s="130"/>
      <c r="I32" s="130"/>
      <c r="J32" s="130"/>
      <c r="K32" s="130"/>
      <c r="L32" s="130"/>
      <c r="M32" s="130"/>
      <c r="N32" s="130"/>
      <c r="O32" s="130"/>
      <c r="P32" s="130"/>
      <c r="Q32" s="130"/>
      <c r="R32" s="130"/>
      <c r="S32" s="130"/>
      <c r="T32" s="130"/>
      <c r="U32" s="130"/>
      <c r="Y32" s="130"/>
      <c r="Z32" s="130"/>
      <c r="AA32" s="130"/>
      <c r="AB32" s="130"/>
      <c r="AC32" s="130"/>
      <c r="AD32" s="130"/>
      <c r="AE32" s="130"/>
      <c r="AF32" s="130"/>
      <c r="AG32" s="160"/>
    </row>
    <row r="33" spans="1:43" s="45" customFormat="1" ht="17.5">
      <c r="A33" s="674" t="s">
        <v>31</v>
      </c>
      <c r="B33" s="675"/>
      <c r="C33" s="675"/>
      <c r="D33" s="675"/>
      <c r="E33" s="675"/>
      <c r="F33" s="675"/>
      <c r="G33" s="675"/>
      <c r="H33" s="675"/>
      <c r="I33" s="675"/>
      <c r="J33" s="675"/>
      <c r="K33" s="675"/>
      <c r="L33" s="675"/>
      <c r="M33" s="675"/>
      <c r="N33" s="675"/>
      <c r="O33" s="675"/>
      <c r="P33" s="675"/>
      <c r="Q33" s="675"/>
      <c r="R33" s="675"/>
      <c r="S33" s="676"/>
      <c r="T33" s="673">
        <f>COUNTIF($Z$40:$AB$139,"*介護予防*")</f>
        <v>0</v>
      </c>
      <c r="U33" s="673"/>
      <c r="V33" s="354" t="s">
        <v>32</v>
      </c>
      <c r="W33" s="338"/>
      <c r="Y33" s="132"/>
      <c r="Z33" s="132"/>
      <c r="AA33" s="132"/>
      <c r="AB33" s="132"/>
      <c r="AC33" s="132"/>
      <c r="AD33" s="132"/>
      <c r="AE33" s="132"/>
      <c r="AF33" s="132"/>
      <c r="AG33" s="132"/>
    </row>
    <row r="34" spans="1:43" s="45" customFormat="1" ht="17.5">
      <c r="A34" s="674" t="s">
        <v>33</v>
      </c>
      <c r="B34" s="675"/>
      <c r="C34" s="675"/>
      <c r="D34" s="675"/>
      <c r="E34" s="675"/>
      <c r="F34" s="675"/>
      <c r="G34" s="675"/>
      <c r="H34" s="675"/>
      <c r="I34" s="675"/>
      <c r="J34" s="675"/>
      <c r="K34" s="675"/>
      <c r="L34" s="675"/>
      <c r="M34" s="675"/>
      <c r="N34" s="675"/>
      <c r="O34" s="675"/>
      <c r="P34" s="675"/>
      <c r="Q34" s="675"/>
      <c r="R34" s="675"/>
      <c r="S34" s="676"/>
      <c r="T34" s="673">
        <f>COUNTIF($Z$40:$AB$139,"*短期利用型*")</f>
        <v>0</v>
      </c>
      <c r="U34" s="673"/>
      <c r="V34" s="354" t="s">
        <v>32</v>
      </c>
      <c r="W34" s="339"/>
      <c r="Y34" s="132"/>
      <c r="Z34" s="132"/>
      <c r="AA34" s="132"/>
      <c r="AB34" s="132"/>
      <c r="AC34" s="132"/>
      <c r="AD34" s="132"/>
      <c r="AE34" s="132"/>
      <c r="AF34" s="132"/>
      <c r="AG34" s="132"/>
    </row>
    <row r="35" spans="1:43" s="45" customFormat="1" ht="17.5">
      <c r="A35" s="674" t="s">
        <v>34</v>
      </c>
      <c r="B35" s="675"/>
      <c r="C35" s="675"/>
      <c r="D35" s="675"/>
      <c r="E35" s="675"/>
      <c r="F35" s="675"/>
      <c r="G35" s="675"/>
      <c r="H35" s="675"/>
      <c r="I35" s="675"/>
      <c r="J35" s="675"/>
      <c r="K35" s="675"/>
      <c r="L35" s="675"/>
      <c r="M35" s="675"/>
      <c r="N35" s="675"/>
      <c r="O35" s="675"/>
      <c r="P35" s="675"/>
      <c r="Q35" s="675"/>
      <c r="R35" s="675"/>
      <c r="S35" s="676"/>
      <c r="T35" s="673">
        <f>COUNTIF($Z$40:$AB$139,"*独自*")+COUNTIF($Z$40:$AB$139,"介護予防ケアマネジメント")</f>
        <v>0</v>
      </c>
      <c r="U35" s="673"/>
      <c r="V35" s="354" t="s">
        <v>32</v>
      </c>
      <c r="W35" s="339"/>
      <c r="Y35" s="132"/>
      <c r="Z35" s="132"/>
      <c r="AA35" s="132"/>
      <c r="AB35" s="132"/>
      <c r="AC35" s="132"/>
      <c r="AD35" s="132"/>
      <c r="AE35" s="132"/>
      <c r="AF35" s="132"/>
      <c r="AG35" s="132"/>
    </row>
    <row r="36" spans="1:43" s="45" customFormat="1" ht="18" thickBot="1">
      <c r="A36" s="674" t="s">
        <v>35</v>
      </c>
      <c r="B36" s="675"/>
      <c r="C36" s="675"/>
      <c r="D36" s="675"/>
      <c r="E36" s="675"/>
      <c r="F36" s="675"/>
      <c r="G36" s="675"/>
      <c r="H36" s="675"/>
      <c r="I36" s="675"/>
      <c r="J36" s="675"/>
      <c r="K36" s="675"/>
      <c r="L36" s="675"/>
      <c r="M36" s="675"/>
      <c r="N36" s="675"/>
      <c r="O36" s="675"/>
      <c r="P36" s="675"/>
      <c r="Q36" s="675"/>
      <c r="R36" s="675"/>
      <c r="S36" s="676"/>
      <c r="T36" s="673">
        <f>COUNTIF(AQ40:AR139,"その他")</f>
        <v>0</v>
      </c>
      <c r="U36" s="673"/>
      <c r="V36" s="354" t="s">
        <v>32</v>
      </c>
      <c r="W36" s="340"/>
      <c r="Y36" s="132"/>
      <c r="Z36" s="132"/>
      <c r="AA36" s="132"/>
      <c r="AB36" s="132"/>
      <c r="AC36" s="132"/>
      <c r="AD36" s="132"/>
      <c r="AE36" s="132"/>
      <c r="AF36" s="132"/>
      <c r="AG36" s="132"/>
    </row>
    <row r="37" spans="1:43" s="45" customFormat="1" ht="17.5">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677" t="s">
        <v>36</v>
      </c>
      <c r="B38" s="644" t="s">
        <v>37</v>
      </c>
      <c r="C38" s="645"/>
      <c r="D38" s="645"/>
      <c r="E38" s="645"/>
      <c r="F38" s="645"/>
      <c r="G38" s="645"/>
      <c r="H38" s="645"/>
      <c r="I38" s="645"/>
      <c r="J38" s="645"/>
      <c r="K38" s="635"/>
      <c r="L38" s="644" t="s">
        <v>38</v>
      </c>
      <c r="M38" s="645"/>
      <c r="N38" s="645"/>
      <c r="O38" s="645"/>
      <c r="P38" s="635"/>
      <c r="Q38" s="637" t="s">
        <v>39</v>
      </c>
      <c r="R38" s="638"/>
      <c r="S38" s="638"/>
      <c r="T38" s="638"/>
      <c r="U38" s="638"/>
      <c r="V38" s="639"/>
      <c r="W38" s="705" t="s">
        <v>40</v>
      </c>
      <c r="X38" s="705"/>
      <c r="Y38" s="705"/>
      <c r="Z38" s="705" t="s">
        <v>41</v>
      </c>
      <c r="AA38" s="705"/>
      <c r="AB38" s="705"/>
      <c r="AC38" s="671" t="s">
        <v>42</v>
      </c>
      <c r="AD38" s="642" t="s">
        <v>43</v>
      </c>
      <c r="AE38" s="640" t="s">
        <v>44</v>
      </c>
      <c r="AF38" s="707" t="s">
        <v>45</v>
      </c>
      <c r="AG38" s="635" t="s">
        <v>46</v>
      </c>
      <c r="AH38"/>
      <c r="AI38"/>
      <c r="AJ38"/>
      <c r="AK38"/>
      <c r="AL38"/>
      <c r="AM38"/>
      <c r="AN38"/>
    </row>
    <row r="39" spans="1:43" s="45" customFormat="1" ht="47.5" customHeight="1" thickBot="1">
      <c r="A39" s="678"/>
      <c r="B39" s="646"/>
      <c r="C39" s="647"/>
      <c r="D39" s="647"/>
      <c r="E39" s="647"/>
      <c r="F39" s="647"/>
      <c r="G39" s="647"/>
      <c r="H39" s="647"/>
      <c r="I39" s="647"/>
      <c r="J39" s="647"/>
      <c r="K39" s="636"/>
      <c r="L39" s="646"/>
      <c r="M39" s="647"/>
      <c r="N39" s="647"/>
      <c r="O39" s="647"/>
      <c r="P39" s="636"/>
      <c r="Q39" s="642" t="s">
        <v>47</v>
      </c>
      <c r="R39" s="643"/>
      <c r="S39" s="643"/>
      <c r="T39" s="643"/>
      <c r="U39" s="643"/>
      <c r="V39" s="351" t="s">
        <v>48</v>
      </c>
      <c r="W39" s="642"/>
      <c r="X39" s="642"/>
      <c r="Y39" s="642"/>
      <c r="Z39" s="642"/>
      <c r="AA39" s="642"/>
      <c r="AB39" s="642"/>
      <c r="AC39" s="672"/>
      <c r="AD39" s="706"/>
      <c r="AE39" s="641"/>
      <c r="AF39" s="708"/>
      <c r="AG39" s="636"/>
      <c r="AH39"/>
      <c r="AI39"/>
      <c r="AJ39"/>
      <c r="AK39"/>
      <c r="AL39"/>
      <c r="AM39"/>
      <c r="AN39"/>
    </row>
    <row r="40" spans="1:43" ht="45" customHeight="1">
      <c r="A40" s="352">
        <v>1</v>
      </c>
      <c r="B40" s="648"/>
      <c r="C40" s="649"/>
      <c r="D40" s="649"/>
      <c r="E40" s="649"/>
      <c r="F40" s="649"/>
      <c r="G40" s="649"/>
      <c r="H40" s="649"/>
      <c r="I40" s="649"/>
      <c r="J40" s="649"/>
      <c r="K40" s="649"/>
      <c r="L40" s="651"/>
      <c r="M40" s="651"/>
      <c r="N40" s="651"/>
      <c r="O40" s="651"/>
      <c r="P40" s="651"/>
      <c r="Q40" s="650"/>
      <c r="R40" s="650"/>
      <c r="S40" s="650"/>
      <c r="T40" s="650"/>
      <c r="U40" s="650"/>
      <c r="V40" s="219"/>
      <c r="W40" s="631"/>
      <c r="X40" s="631"/>
      <c r="Y40" s="631"/>
      <c r="Z40" s="631"/>
      <c r="AA40" s="631"/>
      <c r="AB40" s="631"/>
      <c r="AC40" s="349" t="str">
        <f>IFERROR(VLOOKUP(Z40,【参考】数式用!$A$4:$B$57,2,FALSE),"")</f>
        <v/>
      </c>
      <c r="AD40" s="343"/>
      <c r="AE40" s="344"/>
      <c r="AF40" s="353">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2">
        <f>A40+1</f>
        <v>2</v>
      </c>
      <c r="B41" s="632"/>
      <c r="C41" s="633"/>
      <c r="D41" s="633"/>
      <c r="E41" s="633"/>
      <c r="F41" s="633"/>
      <c r="G41" s="633"/>
      <c r="H41" s="633"/>
      <c r="I41" s="633"/>
      <c r="J41" s="633"/>
      <c r="K41" s="633"/>
      <c r="L41" s="634"/>
      <c r="M41" s="634"/>
      <c r="N41" s="634"/>
      <c r="O41" s="634"/>
      <c r="P41" s="634"/>
      <c r="Q41" s="630"/>
      <c r="R41" s="630"/>
      <c r="S41" s="630"/>
      <c r="T41" s="630"/>
      <c r="U41" s="630"/>
      <c r="V41" s="218"/>
      <c r="W41" s="629"/>
      <c r="X41" s="629"/>
      <c r="Y41" s="629"/>
      <c r="Z41" s="629"/>
      <c r="AA41" s="629"/>
      <c r="AB41" s="629"/>
      <c r="AC41" s="350" t="str">
        <f>IFERROR(VLOOKUP(Z41,【参考】数式用!$A$4:$B$57,2,FALSE),"")</f>
        <v/>
      </c>
      <c r="AD41" s="345"/>
      <c r="AE41" s="346"/>
      <c r="AF41" s="353">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52">
        <f t="shared" ref="A42:A105" si="1">A41+1</f>
        <v>3</v>
      </c>
      <c r="B42" s="632"/>
      <c r="C42" s="633"/>
      <c r="D42" s="633"/>
      <c r="E42" s="633"/>
      <c r="F42" s="633"/>
      <c r="G42" s="633"/>
      <c r="H42" s="633"/>
      <c r="I42" s="633"/>
      <c r="J42" s="633"/>
      <c r="K42" s="633"/>
      <c r="L42" s="634"/>
      <c r="M42" s="634"/>
      <c r="N42" s="634"/>
      <c r="O42" s="634"/>
      <c r="P42" s="634"/>
      <c r="Q42" s="630"/>
      <c r="R42" s="630"/>
      <c r="S42" s="630"/>
      <c r="T42" s="630"/>
      <c r="U42" s="630"/>
      <c r="V42" s="218"/>
      <c r="W42" s="629"/>
      <c r="X42" s="629"/>
      <c r="Y42" s="629"/>
      <c r="Z42" s="629"/>
      <c r="AA42" s="629"/>
      <c r="AB42" s="629"/>
      <c r="AC42" s="350" t="str">
        <f>IFERROR(VLOOKUP(Z42,【参考】数式用!$A$4:$B$57,2,FALSE),"")</f>
        <v/>
      </c>
      <c r="AD42" s="345"/>
      <c r="AE42" s="346"/>
      <c r="AF42" s="353">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52">
        <f t="shared" si="1"/>
        <v>4</v>
      </c>
      <c r="B43" s="632"/>
      <c r="C43" s="633"/>
      <c r="D43" s="633"/>
      <c r="E43" s="633"/>
      <c r="F43" s="633"/>
      <c r="G43" s="633"/>
      <c r="H43" s="633"/>
      <c r="I43" s="633"/>
      <c r="J43" s="633"/>
      <c r="K43" s="633"/>
      <c r="L43" s="634"/>
      <c r="M43" s="634"/>
      <c r="N43" s="634"/>
      <c r="O43" s="634"/>
      <c r="P43" s="634"/>
      <c r="Q43" s="630"/>
      <c r="R43" s="630"/>
      <c r="S43" s="630"/>
      <c r="T43" s="630"/>
      <c r="U43" s="630"/>
      <c r="V43" s="218"/>
      <c r="W43" s="629"/>
      <c r="X43" s="629"/>
      <c r="Y43" s="629"/>
      <c r="Z43" s="629"/>
      <c r="AA43" s="629"/>
      <c r="AB43" s="629"/>
      <c r="AC43" s="350" t="str">
        <f>IFERROR(VLOOKUP(Z43,【参考】数式用!$A$4:$B$57,2,FALSE),"")</f>
        <v/>
      </c>
      <c r="AD43" s="345"/>
      <c r="AE43" s="346"/>
      <c r="AF43" s="353">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52">
        <f t="shared" si="1"/>
        <v>5</v>
      </c>
      <c r="B44" s="632"/>
      <c r="C44" s="633"/>
      <c r="D44" s="633"/>
      <c r="E44" s="633"/>
      <c r="F44" s="633"/>
      <c r="G44" s="633"/>
      <c r="H44" s="633"/>
      <c r="I44" s="633"/>
      <c r="J44" s="633"/>
      <c r="K44" s="633"/>
      <c r="L44" s="634"/>
      <c r="M44" s="634"/>
      <c r="N44" s="634"/>
      <c r="O44" s="634"/>
      <c r="P44" s="634"/>
      <c r="Q44" s="630"/>
      <c r="R44" s="630"/>
      <c r="S44" s="630"/>
      <c r="T44" s="630"/>
      <c r="U44" s="630"/>
      <c r="V44" s="218"/>
      <c r="W44" s="629"/>
      <c r="X44" s="629"/>
      <c r="Y44" s="629"/>
      <c r="Z44" s="629"/>
      <c r="AA44" s="629"/>
      <c r="AB44" s="629"/>
      <c r="AC44" s="350" t="str">
        <f>IFERROR(VLOOKUP(Z44,【参考】数式用!$A$4:$B$57,2,FALSE),"")</f>
        <v/>
      </c>
      <c r="AD44" s="345"/>
      <c r="AE44" s="346"/>
      <c r="AF44" s="353">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52">
        <f t="shared" si="1"/>
        <v>6</v>
      </c>
      <c r="B45" s="632"/>
      <c r="C45" s="633"/>
      <c r="D45" s="633"/>
      <c r="E45" s="633"/>
      <c r="F45" s="633"/>
      <c r="G45" s="633"/>
      <c r="H45" s="633"/>
      <c r="I45" s="633"/>
      <c r="J45" s="633"/>
      <c r="K45" s="633"/>
      <c r="L45" s="634"/>
      <c r="M45" s="634"/>
      <c r="N45" s="634"/>
      <c r="O45" s="634"/>
      <c r="P45" s="634"/>
      <c r="Q45" s="630"/>
      <c r="R45" s="630"/>
      <c r="S45" s="630"/>
      <c r="T45" s="630"/>
      <c r="U45" s="630"/>
      <c r="V45" s="218"/>
      <c r="W45" s="629"/>
      <c r="X45" s="629"/>
      <c r="Y45" s="629"/>
      <c r="Z45" s="629"/>
      <c r="AA45" s="629"/>
      <c r="AB45" s="629"/>
      <c r="AC45" s="350" t="str">
        <f>IFERROR(VLOOKUP(Z45,【参考】数式用!$A$4:$B$57,2,FALSE),"")</f>
        <v/>
      </c>
      <c r="AD45" s="345"/>
      <c r="AE45" s="346"/>
      <c r="AF45" s="353">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52">
        <f t="shared" si="1"/>
        <v>7</v>
      </c>
      <c r="B46" s="632"/>
      <c r="C46" s="633"/>
      <c r="D46" s="633"/>
      <c r="E46" s="633"/>
      <c r="F46" s="633"/>
      <c r="G46" s="633"/>
      <c r="H46" s="633"/>
      <c r="I46" s="633"/>
      <c r="J46" s="633"/>
      <c r="K46" s="633"/>
      <c r="L46" s="634"/>
      <c r="M46" s="634"/>
      <c r="N46" s="634"/>
      <c r="O46" s="634"/>
      <c r="P46" s="634"/>
      <c r="Q46" s="630"/>
      <c r="R46" s="630"/>
      <c r="S46" s="630"/>
      <c r="T46" s="630"/>
      <c r="U46" s="630"/>
      <c r="V46" s="218"/>
      <c r="W46" s="629"/>
      <c r="X46" s="629"/>
      <c r="Y46" s="629"/>
      <c r="Z46" s="629"/>
      <c r="AA46" s="629"/>
      <c r="AB46" s="629"/>
      <c r="AC46" s="350" t="str">
        <f>IFERROR(VLOOKUP(Z46,【参考】数式用!$A$4:$B$57,2,FALSE),"")</f>
        <v/>
      </c>
      <c r="AD46" s="217"/>
      <c r="AE46" s="220"/>
      <c r="AF46" s="353">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52">
        <f t="shared" si="1"/>
        <v>8</v>
      </c>
      <c r="B47" s="632"/>
      <c r="C47" s="633"/>
      <c r="D47" s="633"/>
      <c r="E47" s="633"/>
      <c r="F47" s="633"/>
      <c r="G47" s="633"/>
      <c r="H47" s="633"/>
      <c r="I47" s="633"/>
      <c r="J47" s="633"/>
      <c r="K47" s="633"/>
      <c r="L47" s="634"/>
      <c r="M47" s="634"/>
      <c r="N47" s="634"/>
      <c r="O47" s="634"/>
      <c r="P47" s="634"/>
      <c r="Q47" s="630"/>
      <c r="R47" s="630"/>
      <c r="S47" s="630"/>
      <c r="T47" s="630"/>
      <c r="U47" s="630"/>
      <c r="V47" s="218"/>
      <c r="W47" s="629"/>
      <c r="X47" s="629"/>
      <c r="Y47" s="629"/>
      <c r="Z47" s="629"/>
      <c r="AA47" s="629"/>
      <c r="AB47" s="629"/>
      <c r="AC47" s="350" t="str">
        <f>IFERROR(VLOOKUP(Z47,【参考】数式用!$A$4:$B$57,2,FALSE),"")</f>
        <v/>
      </c>
      <c r="AD47" s="217"/>
      <c r="AE47" s="220"/>
      <c r="AF47" s="353">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52">
        <f t="shared" si="1"/>
        <v>9</v>
      </c>
      <c r="B48" s="632"/>
      <c r="C48" s="633"/>
      <c r="D48" s="633"/>
      <c r="E48" s="633"/>
      <c r="F48" s="633"/>
      <c r="G48" s="633"/>
      <c r="H48" s="633"/>
      <c r="I48" s="633"/>
      <c r="J48" s="633"/>
      <c r="K48" s="633"/>
      <c r="L48" s="634"/>
      <c r="M48" s="634"/>
      <c r="N48" s="634"/>
      <c r="O48" s="634"/>
      <c r="P48" s="634"/>
      <c r="Q48" s="630"/>
      <c r="R48" s="630"/>
      <c r="S48" s="630"/>
      <c r="T48" s="630"/>
      <c r="U48" s="630"/>
      <c r="V48" s="218"/>
      <c r="W48" s="629"/>
      <c r="X48" s="629"/>
      <c r="Y48" s="629"/>
      <c r="Z48" s="629"/>
      <c r="AA48" s="629"/>
      <c r="AB48" s="629"/>
      <c r="AC48" s="350" t="str">
        <f>IFERROR(VLOOKUP(Z48,【参考】数式用!$A$4:$B$57,2,FALSE),"")</f>
        <v/>
      </c>
      <c r="AD48" s="217"/>
      <c r="AE48" s="220"/>
      <c r="AF48" s="353">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52">
        <f t="shared" si="1"/>
        <v>10</v>
      </c>
      <c r="B49" s="632"/>
      <c r="C49" s="633"/>
      <c r="D49" s="633"/>
      <c r="E49" s="633"/>
      <c r="F49" s="633"/>
      <c r="G49" s="633"/>
      <c r="H49" s="633"/>
      <c r="I49" s="633"/>
      <c r="J49" s="633"/>
      <c r="K49" s="633"/>
      <c r="L49" s="634"/>
      <c r="M49" s="634"/>
      <c r="N49" s="634"/>
      <c r="O49" s="634"/>
      <c r="P49" s="634"/>
      <c r="Q49" s="630"/>
      <c r="R49" s="630"/>
      <c r="S49" s="630"/>
      <c r="T49" s="630"/>
      <c r="U49" s="630"/>
      <c r="V49" s="218"/>
      <c r="W49" s="629"/>
      <c r="X49" s="629"/>
      <c r="Y49" s="629"/>
      <c r="Z49" s="629"/>
      <c r="AA49" s="629"/>
      <c r="AB49" s="629"/>
      <c r="AC49" s="350" t="str">
        <f>IFERROR(VLOOKUP(Z49,【参考】数式用!$A$4:$B$57,2,FALSE),"")</f>
        <v/>
      </c>
      <c r="AD49" s="217"/>
      <c r="AE49" s="220"/>
      <c r="AF49" s="353">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52">
        <f t="shared" si="1"/>
        <v>11</v>
      </c>
      <c r="B50" s="632"/>
      <c r="C50" s="633"/>
      <c r="D50" s="633"/>
      <c r="E50" s="633"/>
      <c r="F50" s="633"/>
      <c r="G50" s="633"/>
      <c r="H50" s="633"/>
      <c r="I50" s="633"/>
      <c r="J50" s="633"/>
      <c r="K50" s="633"/>
      <c r="L50" s="634"/>
      <c r="M50" s="634"/>
      <c r="N50" s="634"/>
      <c r="O50" s="634"/>
      <c r="P50" s="634"/>
      <c r="Q50" s="630"/>
      <c r="R50" s="630"/>
      <c r="S50" s="630"/>
      <c r="T50" s="630"/>
      <c r="U50" s="630"/>
      <c r="V50" s="218"/>
      <c r="W50" s="629"/>
      <c r="X50" s="629"/>
      <c r="Y50" s="629"/>
      <c r="Z50" s="629"/>
      <c r="AA50" s="629"/>
      <c r="AB50" s="629"/>
      <c r="AC50" s="350" t="str">
        <f>IFERROR(VLOOKUP(Z50,【参考】数式用!$A$4:$B$57,2,FALSE),"")</f>
        <v/>
      </c>
      <c r="AD50" s="217"/>
      <c r="AE50" s="220"/>
      <c r="AF50" s="353">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52">
        <f t="shared" si="1"/>
        <v>12</v>
      </c>
      <c r="B51" s="632"/>
      <c r="C51" s="633"/>
      <c r="D51" s="633"/>
      <c r="E51" s="633"/>
      <c r="F51" s="633"/>
      <c r="G51" s="633"/>
      <c r="H51" s="633"/>
      <c r="I51" s="633"/>
      <c r="J51" s="633"/>
      <c r="K51" s="633"/>
      <c r="L51" s="634"/>
      <c r="M51" s="634"/>
      <c r="N51" s="634"/>
      <c r="O51" s="634"/>
      <c r="P51" s="634"/>
      <c r="Q51" s="630"/>
      <c r="R51" s="630"/>
      <c r="S51" s="630"/>
      <c r="T51" s="630"/>
      <c r="U51" s="630"/>
      <c r="V51" s="218"/>
      <c r="W51" s="629"/>
      <c r="X51" s="629"/>
      <c r="Y51" s="629"/>
      <c r="Z51" s="629"/>
      <c r="AA51" s="629"/>
      <c r="AB51" s="629"/>
      <c r="AC51" s="350" t="str">
        <f>IFERROR(VLOOKUP(Z51,【参考】数式用!$A$4:$B$57,2,FALSE),"")</f>
        <v/>
      </c>
      <c r="AD51" s="217"/>
      <c r="AE51" s="220"/>
      <c r="AF51" s="353">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52">
        <f t="shared" si="1"/>
        <v>13</v>
      </c>
      <c r="B52" s="632"/>
      <c r="C52" s="633"/>
      <c r="D52" s="633"/>
      <c r="E52" s="633"/>
      <c r="F52" s="633"/>
      <c r="G52" s="633"/>
      <c r="H52" s="633"/>
      <c r="I52" s="633"/>
      <c r="J52" s="633"/>
      <c r="K52" s="633"/>
      <c r="L52" s="634"/>
      <c r="M52" s="634"/>
      <c r="N52" s="634"/>
      <c r="O52" s="634"/>
      <c r="P52" s="634"/>
      <c r="Q52" s="630"/>
      <c r="R52" s="630"/>
      <c r="S52" s="630"/>
      <c r="T52" s="630"/>
      <c r="U52" s="630"/>
      <c r="V52" s="218"/>
      <c r="W52" s="629"/>
      <c r="X52" s="629"/>
      <c r="Y52" s="629"/>
      <c r="Z52" s="629"/>
      <c r="AA52" s="629"/>
      <c r="AB52" s="629"/>
      <c r="AC52" s="350" t="str">
        <f>IFERROR(VLOOKUP(Z52,【参考】数式用!$A$4:$B$57,2,FALSE),"")</f>
        <v/>
      </c>
      <c r="AD52" s="217"/>
      <c r="AE52" s="220"/>
      <c r="AF52" s="353">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52">
        <f t="shared" si="1"/>
        <v>14</v>
      </c>
      <c r="B53" s="632"/>
      <c r="C53" s="633"/>
      <c r="D53" s="633"/>
      <c r="E53" s="633"/>
      <c r="F53" s="633"/>
      <c r="G53" s="633"/>
      <c r="H53" s="633"/>
      <c r="I53" s="633"/>
      <c r="J53" s="633"/>
      <c r="K53" s="633"/>
      <c r="L53" s="634"/>
      <c r="M53" s="634"/>
      <c r="N53" s="634"/>
      <c r="O53" s="634"/>
      <c r="P53" s="634"/>
      <c r="Q53" s="630"/>
      <c r="R53" s="630"/>
      <c r="S53" s="630"/>
      <c r="T53" s="630"/>
      <c r="U53" s="630"/>
      <c r="V53" s="218"/>
      <c r="W53" s="629"/>
      <c r="X53" s="629"/>
      <c r="Y53" s="629"/>
      <c r="Z53" s="629"/>
      <c r="AA53" s="629"/>
      <c r="AB53" s="629"/>
      <c r="AC53" s="350" t="str">
        <f>IFERROR(VLOOKUP(Z53,【参考】数式用!$A$4:$B$57,2,FALSE),"")</f>
        <v/>
      </c>
      <c r="AD53" s="217"/>
      <c r="AE53" s="220"/>
      <c r="AF53" s="353">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52">
        <f t="shared" si="1"/>
        <v>15</v>
      </c>
      <c r="B54" s="632"/>
      <c r="C54" s="633"/>
      <c r="D54" s="633"/>
      <c r="E54" s="633"/>
      <c r="F54" s="633"/>
      <c r="G54" s="633"/>
      <c r="H54" s="633"/>
      <c r="I54" s="633"/>
      <c r="J54" s="633"/>
      <c r="K54" s="633"/>
      <c r="L54" s="634"/>
      <c r="M54" s="634"/>
      <c r="N54" s="634"/>
      <c r="O54" s="634"/>
      <c r="P54" s="634"/>
      <c r="Q54" s="630"/>
      <c r="R54" s="630"/>
      <c r="S54" s="630"/>
      <c r="T54" s="630"/>
      <c r="U54" s="630"/>
      <c r="V54" s="218"/>
      <c r="W54" s="629"/>
      <c r="X54" s="629"/>
      <c r="Y54" s="629"/>
      <c r="Z54" s="629"/>
      <c r="AA54" s="629"/>
      <c r="AB54" s="629"/>
      <c r="AC54" s="350" t="str">
        <f>IFERROR(VLOOKUP(Z54,【参考】数式用!$A$4:$B$57,2,FALSE),"")</f>
        <v/>
      </c>
      <c r="AD54" s="217"/>
      <c r="AE54" s="220"/>
      <c r="AF54" s="353">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52">
        <f t="shared" si="1"/>
        <v>16</v>
      </c>
      <c r="B55" s="632"/>
      <c r="C55" s="633"/>
      <c r="D55" s="633"/>
      <c r="E55" s="633"/>
      <c r="F55" s="633"/>
      <c r="G55" s="633"/>
      <c r="H55" s="633"/>
      <c r="I55" s="633"/>
      <c r="J55" s="633"/>
      <c r="K55" s="633"/>
      <c r="L55" s="634"/>
      <c r="M55" s="634"/>
      <c r="N55" s="634"/>
      <c r="O55" s="634"/>
      <c r="P55" s="634"/>
      <c r="Q55" s="630"/>
      <c r="R55" s="630"/>
      <c r="S55" s="630"/>
      <c r="T55" s="630"/>
      <c r="U55" s="630"/>
      <c r="V55" s="218"/>
      <c r="W55" s="629"/>
      <c r="X55" s="629"/>
      <c r="Y55" s="629"/>
      <c r="Z55" s="629"/>
      <c r="AA55" s="629"/>
      <c r="AB55" s="629"/>
      <c r="AC55" s="350" t="str">
        <f>IFERROR(VLOOKUP(Z55,【参考】数式用!$A$4:$B$57,2,FALSE),"")</f>
        <v/>
      </c>
      <c r="AD55" s="217"/>
      <c r="AE55" s="220"/>
      <c r="AF55" s="353">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52">
        <f t="shared" si="1"/>
        <v>17</v>
      </c>
      <c r="B56" s="632"/>
      <c r="C56" s="633"/>
      <c r="D56" s="633"/>
      <c r="E56" s="633"/>
      <c r="F56" s="633"/>
      <c r="G56" s="633"/>
      <c r="H56" s="633"/>
      <c r="I56" s="633"/>
      <c r="J56" s="633"/>
      <c r="K56" s="633"/>
      <c r="L56" s="634"/>
      <c r="M56" s="634"/>
      <c r="N56" s="634"/>
      <c r="O56" s="634"/>
      <c r="P56" s="634"/>
      <c r="Q56" s="630"/>
      <c r="R56" s="630"/>
      <c r="S56" s="630"/>
      <c r="T56" s="630"/>
      <c r="U56" s="630"/>
      <c r="V56" s="218"/>
      <c r="W56" s="629"/>
      <c r="X56" s="629"/>
      <c r="Y56" s="629"/>
      <c r="Z56" s="629"/>
      <c r="AA56" s="629"/>
      <c r="AB56" s="629"/>
      <c r="AC56" s="350" t="str">
        <f>IFERROR(VLOOKUP(Z56,【参考】数式用!$A$4:$B$57,2,FALSE),"")</f>
        <v/>
      </c>
      <c r="AD56" s="217"/>
      <c r="AE56" s="220"/>
      <c r="AF56" s="353">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52">
        <f t="shared" si="1"/>
        <v>18</v>
      </c>
      <c r="B57" s="632"/>
      <c r="C57" s="633"/>
      <c r="D57" s="633"/>
      <c r="E57" s="633"/>
      <c r="F57" s="633"/>
      <c r="G57" s="633"/>
      <c r="H57" s="633"/>
      <c r="I57" s="633"/>
      <c r="J57" s="633"/>
      <c r="K57" s="633"/>
      <c r="L57" s="634"/>
      <c r="M57" s="634"/>
      <c r="N57" s="634"/>
      <c r="O57" s="634"/>
      <c r="P57" s="634"/>
      <c r="Q57" s="630"/>
      <c r="R57" s="630"/>
      <c r="S57" s="630"/>
      <c r="T57" s="630"/>
      <c r="U57" s="630"/>
      <c r="V57" s="218"/>
      <c r="W57" s="629"/>
      <c r="X57" s="629"/>
      <c r="Y57" s="629"/>
      <c r="Z57" s="629"/>
      <c r="AA57" s="629"/>
      <c r="AB57" s="629"/>
      <c r="AC57" s="350" t="str">
        <f>IFERROR(VLOOKUP(Z57,【参考】数式用!$A$4:$B$57,2,FALSE),"")</f>
        <v/>
      </c>
      <c r="AD57" s="217"/>
      <c r="AE57" s="220"/>
      <c r="AF57" s="353">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52">
        <f t="shared" si="1"/>
        <v>19</v>
      </c>
      <c r="B58" s="632"/>
      <c r="C58" s="633"/>
      <c r="D58" s="633"/>
      <c r="E58" s="633"/>
      <c r="F58" s="633"/>
      <c r="G58" s="633"/>
      <c r="H58" s="633"/>
      <c r="I58" s="633"/>
      <c r="J58" s="633"/>
      <c r="K58" s="633"/>
      <c r="L58" s="634"/>
      <c r="M58" s="634"/>
      <c r="N58" s="634"/>
      <c r="O58" s="634"/>
      <c r="P58" s="634"/>
      <c r="Q58" s="630"/>
      <c r="R58" s="630"/>
      <c r="S58" s="630"/>
      <c r="T58" s="630"/>
      <c r="U58" s="630"/>
      <c r="V58" s="218"/>
      <c r="W58" s="629"/>
      <c r="X58" s="629"/>
      <c r="Y58" s="629"/>
      <c r="Z58" s="629"/>
      <c r="AA58" s="629"/>
      <c r="AB58" s="629"/>
      <c r="AC58" s="350" t="str">
        <f>IFERROR(VLOOKUP(Z58,【参考】数式用!$A$4:$B$57,2,FALSE),"")</f>
        <v/>
      </c>
      <c r="AD58" s="217"/>
      <c r="AE58" s="220"/>
      <c r="AF58" s="353">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52">
        <f t="shared" si="1"/>
        <v>20</v>
      </c>
      <c r="B59" s="632"/>
      <c r="C59" s="633"/>
      <c r="D59" s="633"/>
      <c r="E59" s="633"/>
      <c r="F59" s="633"/>
      <c r="G59" s="633"/>
      <c r="H59" s="633"/>
      <c r="I59" s="633"/>
      <c r="J59" s="633"/>
      <c r="K59" s="633"/>
      <c r="L59" s="634"/>
      <c r="M59" s="634"/>
      <c r="N59" s="634"/>
      <c r="O59" s="634"/>
      <c r="P59" s="634"/>
      <c r="Q59" s="630"/>
      <c r="R59" s="630"/>
      <c r="S59" s="630"/>
      <c r="T59" s="630"/>
      <c r="U59" s="630"/>
      <c r="V59" s="218"/>
      <c r="W59" s="629"/>
      <c r="X59" s="629"/>
      <c r="Y59" s="629"/>
      <c r="Z59" s="629"/>
      <c r="AA59" s="629"/>
      <c r="AB59" s="629"/>
      <c r="AC59" s="350" t="str">
        <f>IFERROR(VLOOKUP(Z59,【参考】数式用!$A$4:$B$57,2,FALSE),"")</f>
        <v/>
      </c>
      <c r="AD59" s="217"/>
      <c r="AE59" s="220"/>
      <c r="AF59" s="353">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52">
        <f t="shared" si="1"/>
        <v>21</v>
      </c>
      <c r="B60" s="632"/>
      <c r="C60" s="633"/>
      <c r="D60" s="633"/>
      <c r="E60" s="633"/>
      <c r="F60" s="633"/>
      <c r="G60" s="633"/>
      <c r="H60" s="633"/>
      <c r="I60" s="633"/>
      <c r="J60" s="633"/>
      <c r="K60" s="633"/>
      <c r="L60" s="634"/>
      <c r="M60" s="634"/>
      <c r="N60" s="634"/>
      <c r="O60" s="634"/>
      <c r="P60" s="634"/>
      <c r="Q60" s="630"/>
      <c r="R60" s="630"/>
      <c r="S60" s="630"/>
      <c r="T60" s="630"/>
      <c r="U60" s="630"/>
      <c r="V60" s="218"/>
      <c r="W60" s="629"/>
      <c r="X60" s="629"/>
      <c r="Y60" s="629"/>
      <c r="Z60" s="629"/>
      <c r="AA60" s="629"/>
      <c r="AB60" s="629"/>
      <c r="AC60" s="350" t="str">
        <f>IFERROR(VLOOKUP(Z60,【参考】数式用!$A$4:$B$57,2,FALSE),"")</f>
        <v/>
      </c>
      <c r="AD60" s="217"/>
      <c r="AE60" s="220"/>
      <c r="AF60" s="353">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52">
        <f t="shared" si="1"/>
        <v>22</v>
      </c>
      <c r="B61" s="632"/>
      <c r="C61" s="633"/>
      <c r="D61" s="633"/>
      <c r="E61" s="633"/>
      <c r="F61" s="633"/>
      <c r="G61" s="633"/>
      <c r="H61" s="633"/>
      <c r="I61" s="633"/>
      <c r="J61" s="633"/>
      <c r="K61" s="633"/>
      <c r="L61" s="634"/>
      <c r="M61" s="634"/>
      <c r="N61" s="634"/>
      <c r="O61" s="634"/>
      <c r="P61" s="634"/>
      <c r="Q61" s="630"/>
      <c r="R61" s="630"/>
      <c r="S61" s="630"/>
      <c r="T61" s="630"/>
      <c r="U61" s="630"/>
      <c r="V61" s="218"/>
      <c r="W61" s="629"/>
      <c r="X61" s="629"/>
      <c r="Y61" s="629"/>
      <c r="Z61" s="629"/>
      <c r="AA61" s="629"/>
      <c r="AB61" s="629"/>
      <c r="AC61" s="350" t="str">
        <f>IFERROR(VLOOKUP(Z61,【参考】数式用!$A$4:$B$57,2,FALSE),"")</f>
        <v/>
      </c>
      <c r="AD61" s="217"/>
      <c r="AE61" s="220"/>
      <c r="AF61" s="353">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52">
        <f t="shared" si="1"/>
        <v>23</v>
      </c>
      <c r="B62" s="632"/>
      <c r="C62" s="633"/>
      <c r="D62" s="633"/>
      <c r="E62" s="633"/>
      <c r="F62" s="633"/>
      <c r="G62" s="633"/>
      <c r="H62" s="633"/>
      <c r="I62" s="633"/>
      <c r="J62" s="633"/>
      <c r="K62" s="633"/>
      <c r="L62" s="634"/>
      <c r="M62" s="634"/>
      <c r="N62" s="634"/>
      <c r="O62" s="634"/>
      <c r="P62" s="634"/>
      <c r="Q62" s="630"/>
      <c r="R62" s="630"/>
      <c r="S62" s="630"/>
      <c r="T62" s="630"/>
      <c r="U62" s="630"/>
      <c r="V62" s="218"/>
      <c r="W62" s="629"/>
      <c r="X62" s="629"/>
      <c r="Y62" s="629"/>
      <c r="Z62" s="629"/>
      <c r="AA62" s="629"/>
      <c r="AB62" s="629"/>
      <c r="AC62" s="350" t="str">
        <f>IFERROR(VLOOKUP(Z62,【参考】数式用!$A$4:$B$57,2,FALSE),"")</f>
        <v/>
      </c>
      <c r="AD62" s="217"/>
      <c r="AE62" s="220"/>
      <c r="AF62" s="353">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52">
        <f t="shared" si="1"/>
        <v>24</v>
      </c>
      <c r="B63" s="632"/>
      <c r="C63" s="633"/>
      <c r="D63" s="633"/>
      <c r="E63" s="633"/>
      <c r="F63" s="633"/>
      <c r="G63" s="633"/>
      <c r="H63" s="633"/>
      <c r="I63" s="633"/>
      <c r="J63" s="633"/>
      <c r="K63" s="633"/>
      <c r="L63" s="634"/>
      <c r="M63" s="634"/>
      <c r="N63" s="634"/>
      <c r="O63" s="634"/>
      <c r="P63" s="634"/>
      <c r="Q63" s="630"/>
      <c r="R63" s="630"/>
      <c r="S63" s="630"/>
      <c r="T63" s="630"/>
      <c r="U63" s="630"/>
      <c r="V63" s="218"/>
      <c r="W63" s="629"/>
      <c r="X63" s="629"/>
      <c r="Y63" s="629"/>
      <c r="Z63" s="629"/>
      <c r="AA63" s="629"/>
      <c r="AB63" s="629"/>
      <c r="AC63" s="350" t="str">
        <f>IFERROR(VLOOKUP(Z63,【参考】数式用!$A$4:$B$57,2,FALSE),"")</f>
        <v/>
      </c>
      <c r="AD63" s="217"/>
      <c r="AE63" s="220"/>
      <c r="AF63" s="353">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52">
        <f t="shared" si="1"/>
        <v>25</v>
      </c>
      <c r="B64" s="632"/>
      <c r="C64" s="633"/>
      <c r="D64" s="633"/>
      <c r="E64" s="633"/>
      <c r="F64" s="633"/>
      <c r="G64" s="633"/>
      <c r="H64" s="633"/>
      <c r="I64" s="633"/>
      <c r="J64" s="633"/>
      <c r="K64" s="633"/>
      <c r="L64" s="634"/>
      <c r="M64" s="634"/>
      <c r="N64" s="634"/>
      <c r="O64" s="634"/>
      <c r="P64" s="634"/>
      <c r="Q64" s="630"/>
      <c r="R64" s="630"/>
      <c r="S64" s="630"/>
      <c r="T64" s="630"/>
      <c r="U64" s="630"/>
      <c r="V64" s="218"/>
      <c r="W64" s="629"/>
      <c r="X64" s="629"/>
      <c r="Y64" s="629"/>
      <c r="Z64" s="629"/>
      <c r="AA64" s="629"/>
      <c r="AB64" s="629"/>
      <c r="AC64" s="350" t="str">
        <f>IFERROR(VLOOKUP(Z64,【参考】数式用!$A$4:$B$57,2,FALSE),"")</f>
        <v/>
      </c>
      <c r="AD64" s="217"/>
      <c r="AE64" s="220"/>
      <c r="AF64" s="353">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52">
        <f t="shared" si="1"/>
        <v>26</v>
      </c>
      <c r="B65" s="632"/>
      <c r="C65" s="633"/>
      <c r="D65" s="633"/>
      <c r="E65" s="633"/>
      <c r="F65" s="633"/>
      <c r="G65" s="633"/>
      <c r="H65" s="633"/>
      <c r="I65" s="633"/>
      <c r="J65" s="633"/>
      <c r="K65" s="633"/>
      <c r="L65" s="634"/>
      <c r="M65" s="634"/>
      <c r="N65" s="634"/>
      <c r="O65" s="634"/>
      <c r="P65" s="634"/>
      <c r="Q65" s="630"/>
      <c r="R65" s="630"/>
      <c r="S65" s="630"/>
      <c r="T65" s="630"/>
      <c r="U65" s="630"/>
      <c r="V65" s="218"/>
      <c r="W65" s="629"/>
      <c r="X65" s="629"/>
      <c r="Y65" s="629"/>
      <c r="Z65" s="629"/>
      <c r="AA65" s="629"/>
      <c r="AB65" s="629"/>
      <c r="AC65" s="350" t="str">
        <f>IFERROR(VLOOKUP(Z65,【参考】数式用!$A$4:$B$57,2,FALSE),"")</f>
        <v/>
      </c>
      <c r="AD65" s="217"/>
      <c r="AE65" s="220"/>
      <c r="AF65" s="353">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52">
        <f t="shared" si="1"/>
        <v>27</v>
      </c>
      <c r="B66" s="632"/>
      <c r="C66" s="633"/>
      <c r="D66" s="633"/>
      <c r="E66" s="633"/>
      <c r="F66" s="633"/>
      <c r="G66" s="633"/>
      <c r="H66" s="633"/>
      <c r="I66" s="633"/>
      <c r="J66" s="633"/>
      <c r="K66" s="633"/>
      <c r="L66" s="634"/>
      <c r="M66" s="634"/>
      <c r="N66" s="634"/>
      <c r="O66" s="634"/>
      <c r="P66" s="634"/>
      <c r="Q66" s="630"/>
      <c r="R66" s="630"/>
      <c r="S66" s="630"/>
      <c r="T66" s="630"/>
      <c r="U66" s="630"/>
      <c r="V66" s="218"/>
      <c r="W66" s="629"/>
      <c r="X66" s="629"/>
      <c r="Y66" s="629"/>
      <c r="Z66" s="629"/>
      <c r="AA66" s="629"/>
      <c r="AB66" s="629"/>
      <c r="AC66" s="350" t="str">
        <f>IFERROR(VLOOKUP(Z66,【参考】数式用!$A$4:$B$57,2,FALSE),"")</f>
        <v/>
      </c>
      <c r="AD66" s="217"/>
      <c r="AE66" s="220"/>
      <c r="AF66" s="353">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52">
        <f t="shared" si="1"/>
        <v>28</v>
      </c>
      <c r="B67" s="632"/>
      <c r="C67" s="633"/>
      <c r="D67" s="633"/>
      <c r="E67" s="633"/>
      <c r="F67" s="633"/>
      <c r="G67" s="633"/>
      <c r="H67" s="633"/>
      <c r="I67" s="633"/>
      <c r="J67" s="633"/>
      <c r="K67" s="633"/>
      <c r="L67" s="634"/>
      <c r="M67" s="634"/>
      <c r="N67" s="634"/>
      <c r="O67" s="634"/>
      <c r="P67" s="634"/>
      <c r="Q67" s="630"/>
      <c r="R67" s="630"/>
      <c r="S67" s="630"/>
      <c r="T67" s="630"/>
      <c r="U67" s="630"/>
      <c r="V67" s="218"/>
      <c r="W67" s="629"/>
      <c r="X67" s="629"/>
      <c r="Y67" s="629"/>
      <c r="Z67" s="629"/>
      <c r="AA67" s="629"/>
      <c r="AB67" s="629"/>
      <c r="AC67" s="350" t="str">
        <f>IFERROR(VLOOKUP(Z67,【参考】数式用!$A$4:$B$57,2,FALSE),"")</f>
        <v/>
      </c>
      <c r="AD67" s="217"/>
      <c r="AE67" s="220"/>
      <c r="AF67" s="353">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52">
        <f t="shared" si="1"/>
        <v>29</v>
      </c>
      <c r="B68" s="632"/>
      <c r="C68" s="633"/>
      <c r="D68" s="633"/>
      <c r="E68" s="633"/>
      <c r="F68" s="633"/>
      <c r="G68" s="633"/>
      <c r="H68" s="633"/>
      <c r="I68" s="633"/>
      <c r="J68" s="633"/>
      <c r="K68" s="633"/>
      <c r="L68" s="634"/>
      <c r="M68" s="634"/>
      <c r="N68" s="634"/>
      <c r="O68" s="634"/>
      <c r="P68" s="634"/>
      <c r="Q68" s="630"/>
      <c r="R68" s="630"/>
      <c r="S68" s="630"/>
      <c r="T68" s="630"/>
      <c r="U68" s="630"/>
      <c r="V68" s="218"/>
      <c r="W68" s="629"/>
      <c r="X68" s="629"/>
      <c r="Y68" s="629"/>
      <c r="Z68" s="629"/>
      <c r="AA68" s="629"/>
      <c r="AB68" s="629"/>
      <c r="AC68" s="350" t="str">
        <f>IFERROR(VLOOKUP(Z68,【参考】数式用!$A$4:$B$57,2,FALSE),"")</f>
        <v/>
      </c>
      <c r="AD68" s="217"/>
      <c r="AE68" s="220"/>
      <c r="AF68" s="353">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52">
        <f t="shared" si="1"/>
        <v>30</v>
      </c>
      <c r="B69" s="632"/>
      <c r="C69" s="633"/>
      <c r="D69" s="633"/>
      <c r="E69" s="633"/>
      <c r="F69" s="633"/>
      <c r="G69" s="633"/>
      <c r="H69" s="633"/>
      <c r="I69" s="633"/>
      <c r="J69" s="633"/>
      <c r="K69" s="633"/>
      <c r="L69" s="634"/>
      <c r="M69" s="634"/>
      <c r="N69" s="634"/>
      <c r="O69" s="634"/>
      <c r="P69" s="634"/>
      <c r="Q69" s="630"/>
      <c r="R69" s="630"/>
      <c r="S69" s="630"/>
      <c r="T69" s="630"/>
      <c r="U69" s="630"/>
      <c r="V69" s="218"/>
      <c r="W69" s="629"/>
      <c r="X69" s="629"/>
      <c r="Y69" s="629"/>
      <c r="Z69" s="629"/>
      <c r="AA69" s="629"/>
      <c r="AB69" s="629"/>
      <c r="AC69" s="350" t="str">
        <f>IFERROR(VLOOKUP(Z69,【参考】数式用!$A$4:$B$57,2,FALSE),"")</f>
        <v/>
      </c>
      <c r="AD69" s="217"/>
      <c r="AE69" s="220"/>
      <c r="AF69" s="353">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52">
        <f t="shared" si="1"/>
        <v>31</v>
      </c>
      <c r="B70" s="632"/>
      <c r="C70" s="633"/>
      <c r="D70" s="633"/>
      <c r="E70" s="633"/>
      <c r="F70" s="633"/>
      <c r="G70" s="633"/>
      <c r="H70" s="633"/>
      <c r="I70" s="633"/>
      <c r="J70" s="633"/>
      <c r="K70" s="633"/>
      <c r="L70" s="634"/>
      <c r="M70" s="634"/>
      <c r="N70" s="634"/>
      <c r="O70" s="634"/>
      <c r="P70" s="634"/>
      <c r="Q70" s="630"/>
      <c r="R70" s="630"/>
      <c r="S70" s="630"/>
      <c r="T70" s="630"/>
      <c r="U70" s="630"/>
      <c r="V70" s="218"/>
      <c r="W70" s="629"/>
      <c r="X70" s="629"/>
      <c r="Y70" s="629"/>
      <c r="Z70" s="629"/>
      <c r="AA70" s="629"/>
      <c r="AB70" s="629"/>
      <c r="AC70" s="350" t="str">
        <f>IFERROR(VLOOKUP(Z70,【参考】数式用!$A$4:$B$57,2,FALSE),"")</f>
        <v/>
      </c>
      <c r="AD70" s="217"/>
      <c r="AE70" s="220"/>
      <c r="AF70" s="353">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52">
        <f t="shared" si="1"/>
        <v>32</v>
      </c>
      <c r="B71" s="632"/>
      <c r="C71" s="633"/>
      <c r="D71" s="633"/>
      <c r="E71" s="633"/>
      <c r="F71" s="633"/>
      <c r="G71" s="633"/>
      <c r="H71" s="633"/>
      <c r="I71" s="633"/>
      <c r="J71" s="633"/>
      <c r="K71" s="633"/>
      <c r="L71" s="634"/>
      <c r="M71" s="634"/>
      <c r="N71" s="634"/>
      <c r="O71" s="634"/>
      <c r="P71" s="634"/>
      <c r="Q71" s="630"/>
      <c r="R71" s="630"/>
      <c r="S71" s="630"/>
      <c r="T71" s="630"/>
      <c r="U71" s="630"/>
      <c r="V71" s="218"/>
      <c r="W71" s="629"/>
      <c r="X71" s="629"/>
      <c r="Y71" s="629"/>
      <c r="Z71" s="629"/>
      <c r="AA71" s="629"/>
      <c r="AB71" s="629"/>
      <c r="AC71" s="350" t="str">
        <f>IFERROR(VLOOKUP(Z71,【参考】数式用!$A$4:$B$57,2,FALSE),"")</f>
        <v/>
      </c>
      <c r="AD71" s="217"/>
      <c r="AE71" s="220"/>
      <c r="AF71" s="353">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52">
        <f t="shared" si="1"/>
        <v>33</v>
      </c>
      <c r="B72" s="632"/>
      <c r="C72" s="633"/>
      <c r="D72" s="633"/>
      <c r="E72" s="633"/>
      <c r="F72" s="633"/>
      <c r="G72" s="633"/>
      <c r="H72" s="633"/>
      <c r="I72" s="633"/>
      <c r="J72" s="633"/>
      <c r="K72" s="633"/>
      <c r="L72" s="634"/>
      <c r="M72" s="634"/>
      <c r="N72" s="634"/>
      <c r="O72" s="634"/>
      <c r="P72" s="634"/>
      <c r="Q72" s="630"/>
      <c r="R72" s="630"/>
      <c r="S72" s="630"/>
      <c r="T72" s="630"/>
      <c r="U72" s="630"/>
      <c r="V72" s="218"/>
      <c r="W72" s="629"/>
      <c r="X72" s="629"/>
      <c r="Y72" s="629"/>
      <c r="Z72" s="629"/>
      <c r="AA72" s="629"/>
      <c r="AB72" s="629"/>
      <c r="AC72" s="350" t="str">
        <f>IFERROR(VLOOKUP(Z72,【参考】数式用!$A$4:$B$57,2,FALSE),"")</f>
        <v/>
      </c>
      <c r="AD72" s="217"/>
      <c r="AE72" s="220"/>
      <c r="AF72" s="353">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52">
        <f t="shared" si="1"/>
        <v>34</v>
      </c>
      <c r="B73" s="632"/>
      <c r="C73" s="633"/>
      <c r="D73" s="633"/>
      <c r="E73" s="633"/>
      <c r="F73" s="633"/>
      <c r="G73" s="633"/>
      <c r="H73" s="633"/>
      <c r="I73" s="633"/>
      <c r="J73" s="633"/>
      <c r="K73" s="633"/>
      <c r="L73" s="634"/>
      <c r="M73" s="634"/>
      <c r="N73" s="634"/>
      <c r="O73" s="634"/>
      <c r="P73" s="634"/>
      <c r="Q73" s="630"/>
      <c r="R73" s="630"/>
      <c r="S73" s="630"/>
      <c r="T73" s="630"/>
      <c r="U73" s="630"/>
      <c r="V73" s="218"/>
      <c r="W73" s="629"/>
      <c r="X73" s="629"/>
      <c r="Y73" s="629"/>
      <c r="Z73" s="629"/>
      <c r="AA73" s="629"/>
      <c r="AB73" s="629"/>
      <c r="AC73" s="350" t="str">
        <f>IFERROR(VLOOKUP(Z73,【参考】数式用!$A$4:$B$57,2,FALSE),"")</f>
        <v/>
      </c>
      <c r="AD73" s="217"/>
      <c r="AE73" s="220"/>
      <c r="AF73" s="353">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52">
        <f t="shared" si="1"/>
        <v>35</v>
      </c>
      <c r="B74" s="632"/>
      <c r="C74" s="633"/>
      <c r="D74" s="633"/>
      <c r="E74" s="633"/>
      <c r="F74" s="633"/>
      <c r="G74" s="633"/>
      <c r="H74" s="633"/>
      <c r="I74" s="633"/>
      <c r="J74" s="633"/>
      <c r="K74" s="633"/>
      <c r="L74" s="634"/>
      <c r="M74" s="634"/>
      <c r="N74" s="634"/>
      <c r="O74" s="634"/>
      <c r="P74" s="634"/>
      <c r="Q74" s="630"/>
      <c r="R74" s="630"/>
      <c r="S74" s="630"/>
      <c r="T74" s="630"/>
      <c r="U74" s="630"/>
      <c r="V74" s="218"/>
      <c r="W74" s="629"/>
      <c r="X74" s="629"/>
      <c r="Y74" s="629"/>
      <c r="Z74" s="629"/>
      <c r="AA74" s="629"/>
      <c r="AB74" s="629"/>
      <c r="AC74" s="350" t="str">
        <f>IFERROR(VLOOKUP(Z74,【参考】数式用!$A$4:$B$57,2,FALSE),"")</f>
        <v/>
      </c>
      <c r="AD74" s="217"/>
      <c r="AE74" s="220"/>
      <c r="AF74" s="353">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52">
        <f t="shared" si="1"/>
        <v>36</v>
      </c>
      <c r="B75" s="632"/>
      <c r="C75" s="633"/>
      <c r="D75" s="633"/>
      <c r="E75" s="633"/>
      <c r="F75" s="633"/>
      <c r="G75" s="633"/>
      <c r="H75" s="633"/>
      <c r="I75" s="633"/>
      <c r="J75" s="633"/>
      <c r="K75" s="633"/>
      <c r="L75" s="634"/>
      <c r="M75" s="634"/>
      <c r="N75" s="634"/>
      <c r="O75" s="634"/>
      <c r="P75" s="634"/>
      <c r="Q75" s="630"/>
      <c r="R75" s="630"/>
      <c r="S75" s="630"/>
      <c r="T75" s="630"/>
      <c r="U75" s="630"/>
      <c r="V75" s="218"/>
      <c r="W75" s="629"/>
      <c r="X75" s="629"/>
      <c r="Y75" s="629"/>
      <c r="Z75" s="629"/>
      <c r="AA75" s="629"/>
      <c r="AB75" s="629"/>
      <c r="AC75" s="350" t="str">
        <f>IFERROR(VLOOKUP(Z75,【参考】数式用!$A$4:$B$57,2,FALSE),"")</f>
        <v/>
      </c>
      <c r="AD75" s="217"/>
      <c r="AE75" s="220"/>
      <c r="AF75" s="353">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52">
        <f t="shared" si="1"/>
        <v>37</v>
      </c>
      <c r="B76" s="632"/>
      <c r="C76" s="633"/>
      <c r="D76" s="633"/>
      <c r="E76" s="633"/>
      <c r="F76" s="633"/>
      <c r="G76" s="633"/>
      <c r="H76" s="633"/>
      <c r="I76" s="633"/>
      <c r="J76" s="633"/>
      <c r="K76" s="633"/>
      <c r="L76" s="634"/>
      <c r="M76" s="634"/>
      <c r="N76" s="634"/>
      <c r="O76" s="634"/>
      <c r="P76" s="634"/>
      <c r="Q76" s="630"/>
      <c r="R76" s="630"/>
      <c r="S76" s="630"/>
      <c r="T76" s="630"/>
      <c r="U76" s="630"/>
      <c r="V76" s="218"/>
      <c r="W76" s="629"/>
      <c r="X76" s="629"/>
      <c r="Y76" s="629"/>
      <c r="Z76" s="629"/>
      <c r="AA76" s="629"/>
      <c r="AB76" s="629"/>
      <c r="AC76" s="350" t="str">
        <f>IFERROR(VLOOKUP(Z76,【参考】数式用!$A$4:$B$57,2,FALSE),"")</f>
        <v/>
      </c>
      <c r="AD76" s="217"/>
      <c r="AE76" s="220"/>
      <c r="AF76" s="353">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52">
        <f t="shared" si="1"/>
        <v>38</v>
      </c>
      <c r="B77" s="632"/>
      <c r="C77" s="633"/>
      <c r="D77" s="633"/>
      <c r="E77" s="633"/>
      <c r="F77" s="633"/>
      <c r="G77" s="633"/>
      <c r="H77" s="633"/>
      <c r="I77" s="633"/>
      <c r="J77" s="633"/>
      <c r="K77" s="633"/>
      <c r="L77" s="634"/>
      <c r="M77" s="634"/>
      <c r="N77" s="634"/>
      <c r="O77" s="634"/>
      <c r="P77" s="634"/>
      <c r="Q77" s="630"/>
      <c r="R77" s="630"/>
      <c r="S77" s="630"/>
      <c r="T77" s="630"/>
      <c r="U77" s="630"/>
      <c r="V77" s="218"/>
      <c r="W77" s="629"/>
      <c r="X77" s="629"/>
      <c r="Y77" s="629"/>
      <c r="Z77" s="629"/>
      <c r="AA77" s="629"/>
      <c r="AB77" s="629"/>
      <c r="AC77" s="350" t="str">
        <f>IFERROR(VLOOKUP(Z77,【参考】数式用!$A$4:$B$57,2,FALSE),"")</f>
        <v/>
      </c>
      <c r="AD77" s="217"/>
      <c r="AE77" s="220"/>
      <c r="AF77" s="353">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52">
        <f t="shared" si="1"/>
        <v>39</v>
      </c>
      <c r="B78" s="632"/>
      <c r="C78" s="633"/>
      <c r="D78" s="633"/>
      <c r="E78" s="633"/>
      <c r="F78" s="633"/>
      <c r="G78" s="633"/>
      <c r="H78" s="633"/>
      <c r="I78" s="633"/>
      <c r="J78" s="633"/>
      <c r="K78" s="633"/>
      <c r="L78" s="634"/>
      <c r="M78" s="634"/>
      <c r="N78" s="634"/>
      <c r="O78" s="634"/>
      <c r="P78" s="634"/>
      <c r="Q78" s="630"/>
      <c r="R78" s="630"/>
      <c r="S78" s="630"/>
      <c r="T78" s="630"/>
      <c r="U78" s="630"/>
      <c r="V78" s="218"/>
      <c r="W78" s="629"/>
      <c r="X78" s="629"/>
      <c r="Y78" s="629"/>
      <c r="Z78" s="629"/>
      <c r="AA78" s="629"/>
      <c r="AB78" s="629"/>
      <c r="AC78" s="350" t="str">
        <f>IFERROR(VLOOKUP(Z78,【参考】数式用!$A$4:$B$57,2,FALSE),"")</f>
        <v/>
      </c>
      <c r="AD78" s="217"/>
      <c r="AE78" s="220"/>
      <c r="AF78" s="353">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52">
        <f t="shared" si="1"/>
        <v>40</v>
      </c>
      <c r="B79" s="632"/>
      <c r="C79" s="633"/>
      <c r="D79" s="633"/>
      <c r="E79" s="633"/>
      <c r="F79" s="633"/>
      <c r="G79" s="633"/>
      <c r="H79" s="633"/>
      <c r="I79" s="633"/>
      <c r="J79" s="633"/>
      <c r="K79" s="633"/>
      <c r="L79" s="634"/>
      <c r="M79" s="634"/>
      <c r="N79" s="634"/>
      <c r="O79" s="634"/>
      <c r="P79" s="634"/>
      <c r="Q79" s="630"/>
      <c r="R79" s="630"/>
      <c r="S79" s="630"/>
      <c r="T79" s="630"/>
      <c r="U79" s="630"/>
      <c r="V79" s="218"/>
      <c r="W79" s="629"/>
      <c r="X79" s="629"/>
      <c r="Y79" s="629"/>
      <c r="Z79" s="629"/>
      <c r="AA79" s="629"/>
      <c r="AB79" s="629"/>
      <c r="AC79" s="350" t="str">
        <f>IFERROR(VLOOKUP(Z79,【参考】数式用!$A$4:$B$57,2,FALSE),"")</f>
        <v/>
      </c>
      <c r="AD79" s="217"/>
      <c r="AE79" s="220"/>
      <c r="AF79" s="353">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52">
        <f t="shared" si="1"/>
        <v>41</v>
      </c>
      <c r="B80" s="632"/>
      <c r="C80" s="633"/>
      <c r="D80" s="633"/>
      <c r="E80" s="633"/>
      <c r="F80" s="633"/>
      <c r="G80" s="633"/>
      <c r="H80" s="633"/>
      <c r="I80" s="633"/>
      <c r="J80" s="633"/>
      <c r="K80" s="633"/>
      <c r="L80" s="634"/>
      <c r="M80" s="634"/>
      <c r="N80" s="634"/>
      <c r="O80" s="634"/>
      <c r="P80" s="634"/>
      <c r="Q80" s="630"/>
      <c r="R80" s="630"/>
      <c r="S80" s="630"/>
      <c r="T80" s="630"/>
      <c r="U80" s="630"/>
      <c r="V80" s="218"/>
      <c r="W80" s="629"/>
      <c r="X80" s="629"/>
      <c r="Y80" s="629"/>
      <c r="Z80" s="629"/>
      <c r="AA80" s="629"/>
      <c r="AB80" s="629"/>
      <c r="AC80" s="350" t="str">
        <f>IFERROR(VLOOKUP(Z80,【参考】数式用!$A$4:$B$57,2,FALSE),"")</f>
        <v/>
      </c>
      <c r="AD80" s="217"/>
      <c r="AE80" s="220"/>
      <c r="AF80" s="353">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52">
        <f t="shared" si="1"/>
        <v>42</v>
      </c>
      <c r="B81" s="632"/>
      <c r="C81" s="633"/>
      <c r="D81" s="633"/>
      <c r="E81" s="633"/>
      <c r="F81" s="633"/>
      <c r="G81" s="633"/>
      <c r="H81" s="633"/>
      <c r="I81" s="633"/>
      <c r="J81" s="633"/>
      <c r="K81" s="633"/>
      <c r="L81" s="634"/>
      <c r="M81" s="634"/>
      <c r="N81" s="634"/>
      <c r="O81" s="634"/>
      <c r="P81" s="634"/>
      <c r="Q81" s="630"/>
      <c r="R81" s="630"/>
      <c r="S81" s="630"/>
      <c r="T81" s="630"/>
      <c r="U81" s="630"/>
      <c r="V81" s="218"/>
      <c r="W81" s="629"/>
      <c r="X81" s="629"/>
      <c r="Y81" s="629"/>
      <c r="Z81" s="629"/>
      <c r="AA81" s="629"/>
      <c r="AB81" s="629"/>
      <c r="AC81" s="350" t="str">
        <f>IFERROR(VLOOKUP(Z81,【参考】数式用!$A$4:$B$57,2,FALSE),"")</f>
        <v/>
      </c>
      <c r="AD81" s="217"/>
      <c r="AE81" s="220"/>
      <c r="AF81" s="353">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52">
        <f t="shared" si="1"/>
        <v>43</v>
      </c>
      <c r="B82" s="632"/>
      <c r="C82" s="633"/>
      <c r="D82" s="633"/>
      <c r="E82" s="633"/>
      <c r="F82" s="633"/>
      <c r="G82" s="633"/>
      <c r="H82" s="633"/>
      <c r="I82" s="633"/>
      <c r="J82" s="633"/>
      <c r="K82" s="633"/>
      <c r="L82" s="634"/>
      <c r="M82" s="634"/>
      <c r="N82" s="634"/>
      <c r="O82" s="634"/>
      <c r="P82" s="634"/>
      <c r="Q82" s="630"/>
      <c r="R82" s="630"/>
      <c r="S82" s="630"/>
      <c r="T82" s="630"/>
      <c r="U82" s="630"/>
      <c r="V82" s="218"/>
      <c r="W82" s="629"/>
      <c r="X82" s="629"/>
      <c r="Y82" s="629"/>
      <c r="Z82" s="629"/>
      <c r="AA82" s="629"/>
      <c r="AB82" s="629"/>
      <c r="AC82" s="350" t="str">
        <f>IFERROR(VLOOKUP(Z82,【参考】数式用!$A$4:$B$57,2,FALSE),"")</f>
        <v/>
      </c>
      <c r="AD82" s="217"/>
      <c r="AE82" s="220"/>
      <c r="AF82" s="353">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52">
        <f t="shared" si="1"/>
        <v>44</v>
      </c>
      <c r="B83" s="632"/>
      <c r="C83" s="633"/>
      <c r="D83" s="633"/>
      <c r="E83" s="633"/>
      <c r="F83" s="633"/>
      <c r="G83" s="633"/>
      <c r="H83" s="633"/>
      <c r="I83" s="633"/>
      <c r="J83" s="633"/>
      <c r="K83" s="633"/>
      <c r="L83" s="634"/>
      <c r="M83" s="634"/>
      <c r="N83" s="634"/>
      <c r="O83" s="634"/>
      <c r="P83" s="634"/>
      <c r="Q83" s="630"/>
      <c r="R83" s="630"/>
      <c r="S83" s="630"/>
      <c r="T83" s="630"/>
      <c r="U83" s="630"/>
      <c r="V83" s="218"/>
      <c r="W83" s="629"/>
      <c r="X83" s="629"/>
      <c r="Y83" s="629"/>
      <c r="Z83" s="629"/>
      <c r="AA83" s="629"/>
      <c r="AB83" s="629"/>
      <c r="AC83" s="350" t="str">
        <f>IFERROR(VLOOKUP(Z83,【参考】数式用!$A$4:$B$57,2,FALSE),"")</f>
        <v/>
      </c>
      <c r="AD83" s="217"/>
      <c r="AE83" s="220"/>
      <c r="AF83" s="353">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52">
        <f t="shared" si="1"/>
        <v>45</v>
      </c>
      <c r="B84" s="632"/>
      <c r="C84" s="633"/>
      <c r="D84" s="633"/>
      <c r="E84" s="633"/>
      <c r="F84" s="633"/>
      <c r="G84" s="633"/>
      <c r="H84" s="633"/>
      <c r="I84" s="633"/>
      <c r="J84" s="633"/>
      <c r="K84" s="633"/>
      <c r="L84" s="634"/>
      <c r="M84" s="634"/>
      <c r="N84" s="634"/>
      <c r="O84" s="634"/>
      <c r="P84" s="634"/>
      <c r="Q84" s="630"/>
      <c r="R84" s="630"/>
      <c r="S84" s="630"/>
      <c r="T84" s="630"/>
      <c r="U84" s="630"/>
      <c r="V84" s="218"/>
      <c r="W84" s="629"/>
      <c r="X84" s="629"/>
      <c r="Y84" s="629"/>
      <c r="Z84" s="629"/>
      <c r="AA84" s="629"/>
      <c r="AB84" s="629"/>
      <c r="AC84" s="350" t="str">
        <f>IFERROR(VLOOKUP(Z84,【参考】数式用!$A$4:$B$57,2,FALSE),"")</f>
        <v/>
      </c>
      <c r="AD84" s="217"/>
      <c r="AE84" s="220"/>
      <c r="AF84" s="353">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52">
        <f t="shared" si="1"/>
        <v>46</v>
      </c>
      <c r="B85" s="632"/>
      <c r="C85" s="633"/>
      <c r="D85" s="633"/>
      <c r="E85" s="633"/>
      <c r="F85" s="633"/>
      <c r="G85" s="633"/>
      <c r="H85" s="633"/>
      <c r="I85" s="633"/>
      <c r="J85" s="633"/>
      <c r="K85" s="633"/>
      <c r="L85" s="634"/>
      <c r="M85" s="634"/>
      <c r="N85" s="634"/>
      <c r="O85" s="634"/>
      <c r="P85" s="634"/>
      <c r="Q85" s="630"/>
      <c r="R85" s="630"/>
      <c r="S85" s="630"/>
      <c r="T85" s="630"/>
      <c r="U85" s="630"/>
      <c r="V85" s="218"/>
      <c r="W85" s="629"/>
      <c r="X85" s="629"/>
      <c r="Y85" s="629"/>
      <c r="Z85" s="629"/>
      <c r="AA85" s="629"/>
      <c r="AB85" s="629"/>
      <c r="AC85" s="350" t="str">
        <f>IFERROR(VLOOKUP(Z85,【参考】数式用!$A$4:$B$57,2,FALSE),"")</f>
        <v/>
      </c>
      <c r="AD85" s="217"/>
      <c r="AE85" s="220"/>
      <c r="AF85" s="353">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52">
        <f t="shared" si="1"/>
        <v>47</v>
      </c>
      <c r="B86" s="632"/>
      <c r="C86" s="633"/>
      <c r="D86" s="633"/>
      <c r="E86" s="633"/>
      <c r="F86" s="633"/>
      <c r="G86" s="633"/>
      <c r="H86" s="633"/>
      <c r="I86" s="633"/>
      <c r="J86" s="633"/>
      <c r="K86" s="633"/>
      <c r="L86" s="634"/>
      <c r="M86" s="634"/>
      <c r="N86" s="634"/>
      <c r="O86" s="634"/>
      <c r="P86" s="634"/>
      <c r="Q86" s="630"/>
      <c r="R86" s="630"/>
      <c r="S86" s="630"/>
      <c r="T86" s="630"/>
      <c r="U86" s="630"/>
      <c r="V86" s="218"/>
      <c r="W86" s="629"/>
      <c r="X86" s="629"/>
      <c r="Y86" s="629"/>
      <c r="Z86" s="629"/>
      <c r="AA86" s="629"/>
      <c r="AB86" s="629"/>
      <c r="AC86" s="350" t="str">
        <f>IFERROR(VLOOKUP(Z86,【参考】数式用!$A$4:$B$57,2,FALSE),"")</f>
        <v/>
      </c>
      <c r="AD86" s="217"/>
      <c r="AE86" s="220"/>
      <c r="AF86" s="353">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52">
        <f t="shared" si="1"/>
        <v>48</v>
      </c>
      <c r="B87" s="632"/>
      <c r="C87" s="633"/>
      <c r="D87" s="633"/>
      <c r="E87" s="633"/>
      <c r="F87" s="633"/>
      <c r="G87" s="633"/>
      <c r="H87" s="633"/>
      <c r="I87" s="633"/>
      <c r="J87" s="633"/>
      <c r="K87" s="633"/>
      <c r="L87" s="634"/>
      <c r="M87" s="634"/>
      <c r="N87" s="634"/>
      <c r="O87" s="634"/>
      <c r="P87" s="634"/>
      <c r="Q87" s="630"/>
      <c r="R87" s="630"/>
      <c r="S87" s="630"/>
      <c r="T87" s="630"/>
      <c r="U87" s="630"/>
      <c r="V87" s="218"/>
      <c r="W87" s="629"/>
      <c r="X87" s="629"/>
      <c r="Y87" s="629"/>
      <c r="Z87" s="629"/>
      <c r="AA87" s="629"/>
      <c r="AB87" s="629"/>
      <c r="AC87" s="350" t="str">
        <f>IFERROR(VLOOKUP(Z87,【参考】数式用!$A$4:$B$57,2,FALSE),"")</f>
        <v/>
      </c>
      <c r="AD87" s="217"/>
      <c r="AE87" s="220"/>
      <c r="AF87" s="353">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52">
        <f t="shared" si="1"/>
        <v>49</v>
      </c>
      <c r="B88" s="632"/>
      <c r="C88" s="633"/>
      <c r="D88" s="633"/>
      <c r="E88" s="633"/>
      <c r="F88" s="633"/>
      <c r="G88" s="633"/>
      <c r="H88" s="633"/>
      <c r="I88" s="633"/>
      <c r="J88" s="633"/>
      <c r="K88" s="633"/>
      <c r="L88" s="634"/>
      <c r="M88" s="634"/>
      <c r="N88" s="634"/>
      <c r="O88" s="634"/>
      <c r="P88" s="634"/>
      <c r="Q88" s="630"/>
      <c r="R88" s="630"/>
      <c r="S88" s="630"/>
      <c r="T88" s="630"/>
      <c r="U88" s="630"/>
      <c r="V88" s="218"/>
      <c r="W88" s="629"/>
      <c r="X88" s="629"/>
      <c r="Y88" s="629"/>
      <c r="Z88" s="629"/>
      <c r="AA88" s="629"/>
      <c r="AB88" s="629"/>
      <c r="AC88" s="350" t="str">
        <f>IFERROR(VLOOKUP(Z88,【参考】数式用!$A$4:$B$57,2,FALSE),"")</f>
        <v/>
      </c>
      <c r="AD88" s="217"/>
      <c r="AE88" s="220"/>
      <c r="AF88" s="353">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52">
        <f t="shared" si="1"/>
        <v>50</v>
      </c>
      <c r="B89" s="632"/>
      <c r="C89" s="633"/>
      <c r="D89" s="633"/>
      <c r="E89" s="633"/>
      <c r="F89" s="633"/>
      <c r="G89" s="633"/>
      <c r="H89" s="633"/>
      <c r="I89" s="633"/>
      <c r="J89" s="633"/>
      <c r="K89" s="633"/>
      <c r="L89" s="634"/>
      <c r="M89" s="634"/>
      <c r="N89" s="634"/>
      <c r="O89" s="634"/>
      <c r="P89" s="634"/>
      <c r="Q89" s="630"/>
      <c r="R89" s="630"/>
      <c r="S89" s="630"/>
      <c r="T89" s="630"/>
      <c r="U89" s="630"/>
      <c r="V89" s="218"/>
      <c r="W89" s="629"/>
      <c r="X89" s="629"/>
      <c r="Y89" s="629"/>
      <c r="Z89" s="629"/>
      <c r="AA89" s="629"/>
      <c r="AB89" s="629"/>
      <c r="AC89" s="350" t="str">
        <f>IFERROR(VLOOKUP(Z89,【参考】数式用!$A$4:$B$57,2,FALSE),"")</f>
        <v/>
      </c>
      <c r="AD89" s="217"/>
      <c r="AE89" s="220"/>
      <c r="AF89" s="353">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52">
        <f t="shared" si="1"/>
        <v>51</v>
      </c>
      <c r="B90" s="632"/>
      <c r="C90" s="633"/>
      <c r="D90" s="633"/>
      <c r="E90" s="633"/>
      <c r="F90" s="633"/>
      <c r="G90" s="633"/>
      <c r="H90" s="633"/>
      <c r="I90" s="633"/>
      <c r="J90" s="633"/>
      <c r="K90" s="633"/>
      <c r="L90" s="634"/>
      <c r="M90" s="634"/>
      <c r="N90" s="634"/>
      <c r="O90" s="634"/>
      <c r="P90" s="634"/>
      <c r="Q90" s="630"/>
      <c r="R90" s="630"/>
      <c r="S90" s="630"/>
      <c r="T90" s="630"/>
      <c r="U90" s="630"/>
      <c r="V90" s="218"/>
      <c r="W90" s="629"/>
      <c r="X90" s="629"/>
      <c r="Y90" s="629"/>
      <c r="Z90" s="629"/>
      <c r="AA90" s="629"/>
      <c r="AB90" s="629"/>
      <c r="AC90" s="350" t="str">
        <f>IFERROR(VLOOKUP(Z90,【参考】数式用!$A$4:$B$57,2,FALSE),"")</f>
        <v/>
      </c>
      <c r="AD90" s="217"/>
      <c r="AE90" s="220"/>
      <c r="AF90" s="353">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52">
        <f t="shared" si="1"/>
        <v>52</v>
      </c>
      <c r="B91" s="632"/>
      <c r="C91" s="633"/>
      <c r="D91" s="633"/>
      <c r="E91" s="633"/>
      <c r="F91" s="633"/>
      <c r="G91" s="633"/>
      <c r="H91" s="633"/>
      <c r="I91" s="633"/>
      <c r="J91" s="633"/>
      <c r="K91" s="633"/>
      <c r="L91" s="634"/>
      <c r="M91" s="634"/>
      <c r="N91" s="634"/>
      <c r="O91" s="634"/>
      <c r="P91" s="634"/>
      <c r="Q91" s="630"/>
      <c r="R91" s="630"/>
      <c r="S91" s="630"/>
      <c r="T91" s="630"/>
      <c r="U91" s="630"/>
      <c r="V91" s="218"/>
      <c r="W91" s="629"/>
      <c r="X91" s="629"/>
      <c r="Y91" s="629"/>
      <c r="Z91" s="629"/>
      <c r="AA91" s="629"/>
      <c r="AB91" s="629"/>
      <c r="AC91" s="350" t="str">
        <f>IFERROR(VLOOKUP(Z91,【参考】数式用!$A$4:$B$57,2,FALSE),"")</f>
        <v/>
      </c>
      <c r="AD91" s="217"/>
      <c r="AE91" s="220"/>
      <c r="AF91" s="353">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52">
        <f t="shared" si="1"/>
        <v>53</v>
      </c>
      <c r="B92" s="632"/>
      <c r="C92" s="633"/>
      <c r="D92" s="633"/>
      <c r="E92" s="633"/>
      <c r="F92" s="633"/>
      <c r="G92" s="633"/>
      <c r="H92" s="633"/>
      <c r="I92" s="633"/>
      <c r="J92" s="633"/>
      <c r="K92" s="633"/>
      <c r="L92" s="634"/>
      <c r="M92" s="634"/>
      <c r="N92" s="634"/>
      <c r="O92" s="634"/>
      <c r="P92" s="634"/>
      <c r="Q92" s="630"/>
      <c r="R92" s="630"/>
      <c r="S92" s="630"/>
      <c r="T92" s="630"/>
      <c r="U92" s="630"/>
      <c r="V92" s="218"/>
      <c r="W92" s="629"/>
      <c r="X92" s="629"/>
      <c r="Y92" s="629"/>
      <c r="Z92" s="629"/>
      <c r="AA92" s="629"/>
      <c r="AB92" s="629"/>
      <c r="AC92" s="350" t="str">
        <f>IFERROR(VLOOKUP(Z92,【参考】数式用!$A$4:$B$57,2,FALSE),"")</f>
        <v/>
      </c>
      <c r="AD92" s="217"/>
      <c r="AE92" s="220"/>
      <c r="AF92" s="353">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52">
        <f t="shared" si="1"/>
        <v>54</v>
      </c>
      <c r="B93" s="632"/>
      <c r="C93" s="633"/>
      <c r="D93" s="633"/>
      <c r="E93" s="633"/>
      <c r="F93" s="633"/>
      <c r="G93" s="633"/>
      <c r="H93" s="633"/>
      <c r="I93" s="633"/>
      <c r="J93" s="633"/>
      <c r="K93" s="633"/>
      <c r="L93" s="634"/>
      <c r="M93" s="634"/>
      <c r="N93" s="634"/>
      <c r="O93" s="634"/>
      <c r="P93" s="634"/>
      <c r="Q93" s="630"/>
      <c r="R93" s="630"/>
      <c r="S93" s="630"/>
      <c r="T93" s="630"/>
      <c r="U93" s="630"/>
      <c r="V93" s="218"/>
      <c r="W93" s="629"/>
      <c r="X93" s="629"/>
      <c r="Y93" s="629"/>
      <c r="Z93" s="629"/>
      <c r="AA93" s="629"/>
      <c r="AB93" s="629"/>
      <c r="AC93" s="350" t="str">
        <f>IFERROR(VLOOKUP(Z93,【参考】数式用!$A$4:$B$57,2,FALSE),"")</f>
        <v/>
      </c>
      <c r="AD93" s="217"/>
      <c r="AE93" s="220"/>
      <c r="AF93" s="353">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52">
        <f t="shared" si="1"/>
        <v>55</v>
      </c>
      <c r="B94" s="632"/>
      <c r="C94" s="633"/>
      <c r="D94" s="633"/>
      <c r="E94" s="633"/>
      <c r="F94" s="633"/>
      <c r="G94" s="633"/>
      <c r="H94" s="633"/>
      <c r="I94" s="633"/>
      <c r="J94" s="633"/>
      <c r="K94" s="633"/>
      <c r="L94" s="634"/>
      <c r="M94" s="634"/>
      <c r="N94" s="634"/>
      <c r="O94" s="634"/>
      <c r="P94" s="634"/>
      <c r="Q94" s="630"/>
      <c r="R94" s="630"/>
      <c r="S94" s="630"/>
      <c r="T94" s="630"/>
      <c r="U94" s="630"/>
      <c r="V94" s="218"/>
      <c r="W94" s="629"/>
      <c r="X94" s="629"/>
      <c r="Y94" s="629"/>
      <c r="Z94" s="629"/>
      <c r="AA94" s="629"/>
      <c r="AB94" s="629"/>
      <c r="AC94" s="350" t="str">
        <f>IFERROR(VLOOKUP(Z94,【参考】数式用!$A$4:$B$57,2,FALSE),"")</f>
        <v/>
      </c>
      <c r="AD94" s="217"/>
      <c r="AE94" s="220"/>
      <c r="AF94" s="353">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52">
        <f t="shared" si="1"/>
        <v>56</v>
      </c>
      <c r="B95" s="632"/>
      <c r="C95" s="633"/>
      <c r="D95" s="633"/>
      <c r="E95" s="633"/>
      <c r="F95" s="633"/>
      <c r="G95" s="633"/>
      <c r="H95" s="633"/>
      <c r="I95" s="633"/>
      <c r="J95" s="633"/>
      <c r="K95" s="633"/>
      <c r="L95" s="634"/>
      <c r="M95" s="634"/>
      <c r="N95" s="634"/>
      <c r="O95" s="634"/>
      <c r="P95" s="634"/>
      <c r="Q95" s="630"/>
      <c r="R95" s="630"/>
      <c r="S95" s="630"/>
      <c r="T95" s="630"/>
      <c r="U95" s="630"/>
      <c r="V95" s="218"/>
      <c r="W95" s="629"/>
      <c r="X95" s="629"/>
      <c r="Y95" s="629"/>
      <c r="Z95" s="629"/>
      <c r="AA95" s="629"/>
      <c r="AB95" s="629"/>
      <c r="AC95" s="350" t="str">
        <f>IFERROR(VLOOKUP(Z95,【参考】数式用!$A$4:$B$57,2,FALSE),"")</f>
        <v/>
      </c>
      <c r="AD95" s="217"/>
      <c r="AE95" s="220"/>
      <c r="AF95" s="353">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52">
        <f t="shared" si="1"/>
        <v>57</v>
      </c>
      <c r="B96" s="632"/>
      <c r="C96" s="633"/>
      <c r="D96" s="633"/>
      <c r="E96" s="633"/>
      <c r="F96" s="633"/>
      <c r="G96" s="633"/>
      <c r="H96" s="633"/>
      <c r="I96" s="633"/>
      <c r="J96" s="633"/>
      <c r="K96" s="633"/>
      <c r="L96" s="634"/>
      <c r="M96" s="634"/>
      <c r="N96" s="634"/>
      <c r="O96" s="634"/>
      <c r="P96" s="634"/>
      <c r="Q96" s="630"/>
      <c r="R96" s="630"/>
      <c r="S96" s="630"/>
      <c r="T96" s="630"/>
      <c r="U96" s="630"/>
      <c r="V96" s="218"/>
      <c r="W96" s="629"/>
      <c r="X96" s="629"/>
      <c r="Y96" s="629"/>
      <c r="Z96" s="629"/>
      <c r="AA96" s="629"/>
      <c r="AB96" s="629"/>
      <c r="AC96" s="350" t="str">
        <f>IFERROR(VLOOKUP(Z96,【参考】数式用!$A$4:$B$57,2,FALSE),"")</f>
        <v/>
      </c>
      <c r="AD96" s="217"/>
      <c r="AE96" s="220"/>
      <c r="AF96" s="353">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52">
        <f t="shared" si="1"/>
        <v>58</v>
      </c>
      <c r="B97" s="632"/>
      <c r="C97" s="633"/>
      <c r="D97" s="633"/>
      <c r="E97" s="633"/>
      <c r="F97" s="633"/>
      <c r="G97" s="633"/>
      <c r="H97" s="633"/>
      <c r="I97" s="633"/>
      <c r="J97" s="633"/>
      <c r="K97" s="633"/>
      <c r="L97" s="634"/>
      <c r="M97" s="634"/>
      <c r="N97" s="634"/>
      <c r="O97" s="634"/>
      <c r="P97" s="634"/>
      <c r="Q97" s="630"/>
      <c r="R97" s="630"/>
      <c r="S97" s="630"/>
      <c r="T97" s="630"/>
      <c r="U97" s="630"/>
      <c r="V97" s="218"/>
      <c r="W97" s="629"/>
      <c r="X97" s="629"/>
      <c r="Y97" s="629"/>
      <c r="Z97" s="629"/>
      <c r="AA97" s="629"/>
      <c r="AB97" s="629"/>
      <c r="AC97" s="350" t="str">
        <f>IFERROR(VLOOKUP(Z97,【参考】数式用!$A$4:$B$57,2,FALSE),"")</f>
        <v/>
      </c>
      <c r="AD97" s="217"/>
      <c r="AE97" s="220"/>
      <c r="AF97" s="353">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52">
        <f t="shared" si="1"/>
        <v>59</v>
      </c>
      <c r="B98" s="632"/>
      <c r="C98" s="633"/>
      <c r="D98" s="633"/>
      <c r="E98" s="633"/>
      <c r="F98" s="633"/>
      <c r="G98" s="633"/>
      <c r="H98" s="633"/>
      <c r="I98" s="633"/>
      <c r="J98" s="633"/>
      <c r="K98" s="633"/>
      <c r="L98" s="634"/>
      <c r="M98" s="634"/>
      <c r="N98" s="634"/>
      <c r="O98" s="634"/>
      <c r="P98" s="634"/>
      <c r="Q98" s="630"/>
      <c r="R98" s="630"/>
      <c r="S98" s="630"/>
      <c r="T98" s="630"/>
      <c r="U98" s="630"/>
      <c r="V98" s="218"/>
      <c r="W98" s="629"/>
      <c r="X98" s="629"/>
      <c r="Y98" s="629"/>
      <c r="Z98" s="629"/>
      <c r="AA98" s="629"/>
      <c r="AB98" s="629"/>
      <c r="AC98" s="350" t="str">
        <f>IFERROR(VLOOKUP(Z98,【参考】数式用!$A$4:$B$57,2,FALSE),"")</f>
        <v/>
      </c>
      <c r="AD98" s="217"/>
      <c r="AE98" s="220"/>
      <c r="AF98" s="353">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52">
        <f t="shared" si="1"/>
        <v>60</v>
      </c>
      <c r="B99" s="632"/>
      <c r="C99" s="633"/>
      <c r="D99" s="633"/>
      <c r="E99" s="633"/>
      <c r="F99" s="633"/>
      <c r="G99" s="633"/>
      <c r="H99" s="633"/>
      <c r="I99" s="633"/>
      <c r="J99" s="633"/>
      <c r="K99" s="633"/>
      <c r="L99" s="634"/>
      <c r="M99" s="634"/>
      <c r="N99" s="634"/>
      <c r="O99" s="634"/>
      <c r="P99" s="634"/>
      <c r="Q99" s="630"/>
      <c r="R99" s="630"/>
      <c r="S99" s="630"/>
      <c r="T99" s="630"/>
      <c r="U99" s="630"/>
      <c r="V99" s="218"/>
      <c r="W99" s="629"/>
      <c r="X99" s="629"/>
      <c r="Y99" s="629"/>
      <c r="Z99" s="629"/>
      <c r="AA99" s="629"/>
      <c r="AB99" s="629"/>
      <c r="AC99" s="350" t="str">
        <f>IFERROR(VLOOKUP(Z99,【参考】数式用!$A$4:$B$57,2,FALSE),"")</f>
        <v/>
      </c>
      <c r="AD99" s="217"/>
      <c r="AE99" s="220"/>
      <c r="AF99" s="353">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52">
        <f t="shared" si="1"/>
        <v>61</v>
      </c>
      <c r="B100" s="632"/>
      <c r="C100" s="633"/>
      <c r="D100" s="633"/>
      <c r="E100" s="633"/>
      <c r="F100" s="633"/>
      <c r="G100" s="633"/>
      <c r="H100" s="633"/>
      <c r="I100" s="633"/>
      <c r="J100" s="633"/>
      <c r="K100" s="633"/>
      <c r="L100" s="634"/>
      <c r="M100" s="634"/>
      <c r="N100" s="634"/>
      <c r="O100" s="634"/>
      <c r="P100" s="634"/>
      <c r="Q100" s="630"/>
      <c r="R100" s="630"/>
      <c r="S100" s="630"/>
      <c r="T100" s="630"/>
      <c r="U100" s="630"/>
      <c r="V100" s="218"/>
      <c r="W100" s="629"/>
      <c r="X100" s="629"/>
      <c r="Y100" s="629"/>
      <c r="Z100" s="629"/>
      <c r="AA100" s="629"/>
      <c r="AB100" s="629"/>
      <c r="AC100" s="350" t="str">
        <f>IFERROR(VLOOKUP(Z100,【参考】数式用!$A$4:$B$57,2,FALSE),"")</f>
        <v/>
      </c>
      <c r="AD100" s="217"/>
      <c r="AE100" s="220"/>
      <c r="AF100" s="353">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52">
        <f t="shared" si="1"/>
        <v>62</v>
      </c>
      <c r="B101" s="632"/>
      <c r="C101" s="633"/>
      <c r="D101" s="633"/>
      <c r="E101" s="633"/>
      <c r="F101" s="633"/>
      <c r="G101" s="633"/>
      <c r="H101" s="633"/>
      <c r="I101" s="633"/>
      <c r="J101" s="633"/>
      <c r="K101" s="633"/>
      <c r="L101" s="634"/>
      <c r="M101" s="634"/>
      <c r="N101" s="634"/>
      <c r="O101" s="634"/>
      <c r="P101" s="634"/>
      <c r="Q101" s="630"/>
      <c r="R101" s="630"/>
      <c r="S101" s="630"/>
      <c r="T101" s="630"/>
      <c r="U101" s="630"/>
      <c r="V101" s="218"/>
      <c r="W101" s="629"/>
      <c r="X101" s="629"/>
      <c r="Y101" s="629"/>
      <c r="Z101" s="629"/>
      <c r="AA101" s="629"/>
      <c r="AB101" s="629"/>
      <c r="AC101" s="350" t="str">
        <f>IFERROR(VLOOKUP(Z101,【参考】数式用!$A$4:$B$57,2,FALSE),"")</f>
        <v/>
      </c>
      <c r="AD101" s="217"/>
      <c r="AE101" s="220"/>
      <c r="AF101" s="353">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52">
        <f t="shared" si="1"/>
        <v>63</v>
      </c>
      <c r="B102" s="632"/>
      <c r="C102" s="633"/>
      <c r="D102" s="633"/>
      <c r="E102" s="633"/>
      <c r="F102" s="633"/>
      <c r="G102" s="633"/>
      <c r="H102" s="633"/>
      <c r="I102" s="633"/>
      <c r="J102" s="633"/>
      <c r="K102" s="633"/>
      <c r="L102" s="634"/>
      <c r="M102" s="634"/>
      <c r="N102" s="634"/>
      <c r="O102" s="634"/>
      <c r="P102" s="634"/>
      <c r="Q102" s="630"/>
      <c r="R102" s="630"/>
      <c r="S102" s="630"/>
      <c r="T102" s="630"/>
      <c r="U102" s="630"/>
      <c r="V102" s="218"/>
      <c r="W102" s="629"/>
      <c r="X102" s="629"/>
      <c r="Y102" s="629"/>
      <c r="Z102" s="629"/>
      <c r="AA102" s="629"/>
      <c r="AB102" s="629"/>
      <c r="AC102" s="350" t="str">
        <f>IFERROR(VLOOKUP(Z102,【参考】数式用!$A$4:$B$57,2,FALSE),"")</f>
        <v/>
      </c>
      <c r="AD102" s="217"/>
      <c r="AE102" s="220"/>
      <c r="AF102" s="353">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52">
        <f t="shared" si="1"/>
        <v>64</v>
      </c>
      <c r="B103" s="632"/>
      <c r="C103" s="633"/>
      <c r="D103" s="633"/>
      <c r="E103" s="633"/>
      <c r="F103" s="633"/>
      <c r="G103" s="633"/>
      <c r="H103" s="633"/>
      <c r="I103" s="633"/>
      <c r="J103" s="633"/>
      <c r="K103" s="633"/>
      <c r="L103" s="634"/>
      <c r="M103" s="634"/>
      <c r="N103" s="634"/>
      <c r="O103" s="634"/>
      <c r="P103" s="634"/>
      <c r="Q103" s="630"/>
      <c r="R103" s="630"/>
      <c r="S103" s="630"/>
      <c r="T103" s="630"/>
      <c r="U103" s="630"/>
      <c r="V103" s="218"/>
      <c r="W103" s="629"/>
      <c r="X103" s="629"/>
      <c r="Y103" s="629"/>
      <c r="Z103" s="629"/>
      <c r="AA103" s="629"/>
      <c r="AB103" s="629"/>
      <c r="AC103" s="350" t="str">
        <f>IFERROR(VLOOKUP(Z103,【参考】数式用!$A$4:$B$57,2,FALSE),"")</f>
        <v/>
      </c>
      <c r="AD103" s="217"/>
      <c r="AE103" s="220"/>
      <c r="AF103" s="353">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52">
        <f t="shared" si="1"/>
        <v>65</v>
      </c>
      <c r="B104" s="632"/>
      <c r="C104" s="633"/>
      <c r="D104" s="633"/>
      <c r="E104" s="633"/>
      <c r="F104" s="633"/>
      <c r="G104" s="633"/>
      <c r="H104" s="633"/>
      <c r="I104" s="633"/>
      <c r="J104" s="633"/>
      <c r="K104" s="633"/>
      <c r="L104" s="634"/>
      <c r="M104" s="634"/>
      <c r="N104" s="634"/>
      <c r="O104" s="634"/>
      <c r="P104" s="634"/>
      <c r="Q104" s="630"/>
      <c r="R104" s="630"/>
      <c r="S104" s="630"/>
      <c r="T104" s="630"/>
      <c r="U104" s="630"/>
      <c r="V104" s="218"/>
      <c r="W104" s="629"/>
      <c r="X104" s="629"/>
      <c r="Y104" s="629"/>
      <c r="Z104" s="629"/>
      <c r="AA104" s="629"/>
      <c r="AB104" s="629"/>
      <c r="AC104" s="350" t="str">
        <f>IFERROR(VLOOKUP(Z104,【参考】数式用!$A$4:$B$57,2,FALSE),"")</f>
        <v/>
      </c>
      <c r="AD104" s="217"/>
      <c r="AE104" s="220"/>
      <c r="AF104" s="353">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52">
        <f t="shared" si="1"/>
        <v>66</v>
      </c>
      <c r="B105" s="632"/>
      <c r="C105" s="633"/>
      <c r="D105" s="633"/>
      <c r="E105" s="633"/>
      <c r="F105" s="633"/>
      <c r="G105" s="633"/>
      <c r="H105" s="633"/>
      <c r="I105" s="633"/>
      <c r="J105" s="633"/>
      <c r="K105" s="633"/>
      <c r="L105" s="634"/>
      <c r="M105" s="634"/>
      <c r="N105" s="634"/>
      <c r="O105" s="634"/>
      <c r="P105" s="634"/>
      <c r="Q105" s="630"/>
      <c r="R105" s="630"/>
      <c r="S105" s="630"/>
      <c r="T105" s="630"/>
      <c r="U105" s="630"/>
      <c r="V105" s="218"/>
      <c r="W105" s="629"/>
      <c r="X105" s="629"/>
      <c r="Y105" s="629"/>
      <c r="Z105" s="629"/>
      <c r="AA105" s="629"/>
      <c r="AB105" s="629"/>
      <c r="AC105" s="350" t="str">
        <f>IFERROR(VLOOKUP(Z105,【参考】数式用!$A$4:$B$57,2,FALSE),"")</f>
        <v/>
      </c>
      <c r="AD105" s="217"/>
      <c r="AE105" s="220"/>
      <c r="AF105" s="353">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52">
        <f t="shared" ref="A106:A139" si="3">A105+1</f>
        <v>67</v>
      </c>
      <c r="B106" s="632"/>
      <c r="C106" s="633"/>
      <c r="D106" s="633"/>
      <c r="E106" s="633"/>
      <c r="F106" s="633"/>
      <c r="G106" s="633"/>
      <c r="H106" s="633"/>
      <c r="I106" s="633"/>
      <c r="J106" s="633"/>
      <c r="K106" s="633"/>
      <c r="L106" s="634"/>
      <c r="M106" s="634"/>
      <c r="N106" s="634"/>
      <c r="O106" s="634"/>
      <c r="P106" s="634"/>
      <c r="Q106" s="630"/>
      <c r="R106" s="630"/>
      <c r="S106" s="630"/>
      <c r="T106" s="630"/>
      <c r="U106" s="630"/>
      <c r="V106" s="218"/>
      <c r="W106" s="629"/>
      <c r="X106" s="629"/>
      <c r="Y106" s="629"/>
      <c r="Z106" s="629"/>
      <c r="AA106" s="629"/>
      <c r="AB106" s="629"/>
      <c r="AC106" s="350" t="str">
        <f>IFERROR(VLOOKUP(Z106,【参考】数式用!$A$4:$B$57,2,FALSE),"")</f>
        <v/>
      </c>
      <c r="AD106" s="217"/>
      <c r="AE106" s="220"/>
      <c r="AF106" s="353">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52">
        <f t="shared" si="3"/>
        <v>68</v>
      </c>
      <c r="B107" s="632"/>
      <c r="C107" s="633"/>
      <c r="D107" s="633"/>
      <c r="E107" s="633"/>
      <c r="F107" s="633"/>
      <c r="G107" s="633"/>
      <c r="H107" s="633"/>
      <c r="I107" s="633"/>
      <c r="J107" s="633"/>
      <c r="K107" s="633"/>
      <c r="L107" s="634"/>
      <c r="M107" s="634"/>
      <c r="N107" s="634"/>
      <c r="O107" s="634"/>
      <c r="P107" s="634"/>
      <c r="Q107" s="630"/>
      <c r="R107" s="630"/>
      <c r="S107" s="630"/>
      <c r="T107" s="630"/>
      <c r="U107" s="630"/>
      <c r="V107" s="218"/>
      <c r="W107" s="629"/>
      <c r="X107" s="629"/>
      <c r="Y107" s="629"/>
      <c r="Z107" s="629"/>
      <c r="AA107" s="629"/>
      <c r="AB107" s="629"/>
      <c r="AC107" s="350" t="str">
        <f>IFERROR(VLOOKUP(Z107,【参考】数式用!$A$4:$B$57,2,FALSE),"")</f>
        <v/>
      </c>
      <c r="AD107" s="217"/>
      <c r="AE107" s="220"/>
      <c r="AF107" s="353">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52">
        <f t="shared" si="3"/>
        <v>69</v>
      </c>
      <c r="B108" s="632"/>
      <c r="C108" s="633"/>
      <c r="D108" s="633"/>
      <c r="E108" s="633"/>
      <c r="F108" s="633"/>
      <c r="G108" s="633"/>
      <c r="H108" s="633"/>
      <c r="I108" s="633"/>
      <c r="J108" s="633"/>
      <c r="K108" s="633"/>
      <c r="L108" s="634"/>
      <c r="M108" s="634"/>
      <c r="N108" s="634"/>
      <c r="O108" s="634"/>
      <c r="P108" s="634"/>
      <c r="Q108" s="630"/>
      <c r="R108" s="630"/>
      <c r="S108" s="630"/>
      <c r="T108" s="630"/>
      <c r="U108" s="630"/>
      <c r="V108" s="218"/>
      <c r="W108" s="629"/>
      <c r="X108" s="629"/>
      <c r="Y108" s="629"/>
      <c r="Z108" s="629"/>
      <c r="AA108" s="629"/>
      <c r="AB108" s="629"/>
      <c r="AC108" s="350" t="str">
        <f>IFERROR(VLOOKUP(Z108,【参考】数式用!$A$4:$B$57,2,FALSE),"")</f>
        <v/>
      </c>
      <c r="AD108" s="217"/>
      <c r="AE108" s="220"/>
      <c r="AF108" s="353">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52">
        <f t="shared" si="3"/>
        <v>70</v>
      </c>
      <c r="B109" s="632"/>
      <c r="C109" s="633"/>
      <c r="D109" s="633"/>
      <c r="E109" s="633"/>
      <c r="F109" s="633"/>
      <c r="G109" s="633"/>
      <c r="H109" s="633"/>
      <c r="I109" s="633"/>
      <c r="J109" s="633"/>
      <c r="K109" s="633"/>
      <c r="L109" s="634"/>
      <c r="M109" s="634"/>
      <c r="N109" s="634"/>
      <c r="O109" s="634"/>
      <c r="P109" s="634"/>
      <c r="Q109" s="630"/>
      <c r="R109" s="630"/>
      <c r="S109" s="630"/>
      <c r="T109" s="630"/>
      <c r="U109" s="630"/>
      <c r="V109" s="218"/>
      <c r="W109" s="629"/>
      <c r="X109" s="629"/>
      <c r="Y109" s="629"/>
      <c r="Z109" s="629"/>
      <c r="AA109" s="629"/>
      <c r="AB109" s="629"/>
      <c r="AC109" s="350" t="str">
        <f>IFERROR(VLOOKUP(Z109,【参考】数式用!$A$4:$B$57,2,FALSE),"")</f>
        <v/>
      </c>
      <c r="AD109" s="217"/>
      <c r="AE109" s="220"/>
      <c r="AF109" s="353">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52">
        <f t="shared" si="3"/>
        <v>71</v>
      </c>
      <c r="B110" s="632"/>
      <c r="C110" s="633"/>
      <c r="D110" s="633"/>
      <c r="E110" s="633"/>
      <c r="F110" s="633"/>
      <c r="G110" s="633"/>
      <c r="H110" s="633"/>
      <c r="I110" s="633"/>
      <c r="J110" s="633"/>
      <c r="K110" s="633"/>
      <c r="L110" s="634"/>
      <c r="M110" s="634"/>
      <c r="N110" s="634"/>
      <c r="O110" s="634"/>
      <c r="P110" s="634"/>
      <c r="Q110" s="630"/>
      <c r="R110" s="630"/>
      <c r="S110" s="630"/>
      <c r="T110" s="630"/>
      <c r="U110" s="630"/>
      <c r="V110" s="218"/>
      <c r="W110" s="629"/>
      <c r="X110" s="629"/>
      <c r="Y110" s="629"/>
      <c r="Z110" s="629"/>
      <c r="AA110" s="629"/>
      <c r="AB110" s="629"/>
      <c r="AC110" s="350" t="str">
        <f>IFERROR(VLOOKUP(Z110,【参考】数式用!$A$4:$B$57,2,FALSE),"")</f>
        <v/>
      </c>
      <c r="AD110" s="217"/>
      <c r="AE110" s="220"/>
      <c r="AF110" s="353">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52">
        <f t="shared" si="3"/>
        <v>72</v>
      </c>
      <c r="B111" s="632"/>
      <c r="C111" s="633"/>
      <c r="D111" s="633"/>
      <c r="E111" s="633"/>
      <c r="F111" s="633"/>
      <c r="G111" s="633"/>
      <c r="H111" s="633"/>
      <c r="I111" s="633"/>
      <c r="J111" s="633"/>
      <c r="K111" s="633"/>
      <c r="L111" s="634"/>
      <c r="M111" s="634"/>
      <c r="N111" s="634"/>
      <c r="O111" s="634"/>
      <c r="P111" s="634"/>
      <c r="Q111" s="630"/>
      <c r="R111" s="630"/>
      <c r="S111" s="630"/>
      <c r="T111" s="630"/>
      <c r="U111" s="630"/>
      <c r="V111" s="218"/>
      <c r="W111" s="629"/>
      <c r="X111" s="629"/>
      <c r="Y111" s="629"/>
      <c r="Z111" s="629"/>
      <c r="AA111" s="629"/>
      <c r="AB111" s="629"/>
      <c r="AC111" s="350" t="str">
        <f>IFERROR(VLOOKUP(Z111,【参考】数式用!$A$4:$B$57,2,FALSE),"")</f>
        <v/>
      </c>
      <c r="AD111" s="217"/>
      <c r="AE111" s="220"/>
      <c r="AF111" s="353">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52">
        <f t="shared" si="3"/>
        <v>73</v>
      </c>
      <c r="B112" s="632"/>
      <c r="C112" s="633"/>
      <c r="D112" s="633"/>
      <c r="E112" s="633"/>
      <c r="F112" s="633"/>
      <c r="G112" s="633"/>
      <c r="H112" s="633"/>
      <c r="I112" s="633"/>
      <c r="J112" s="633"/>
      <c r="K112" s="633"/>
      <c r="L112" s="634"/>
      <c r="M112" s="634"/>
      <c r="N112" s="634"/>
      <c r="O112" s="634"/>
      <c r="P112" s="634"/>
      <c r="Q112" s="630"/>
      <c r="R112" s="630"/>
      <c r="S112" s="630"/>
      <c r="T112" s="630"/>
      <c r="U112" s="630"/>
      <c r="V112" s="218"/>
      <c r="W112" s="629"/>
      <c r="X112" s="629"/>
      <c r="Y112" s="629"/>
      <c r="Z112" s="629"/>
      <c r="AA112" s="629"/>
      <c r="AB112" s="629"/>
      <c r="AC112" s="350" t="str">
        <f>IFERROR(VLOOKUP(Z112,【参考】数式用!$A$4:$B$57,2,FALSE),"")</f>
        <v/>
      </c>
      <c r="AD112" s="217"/>
      <c r="AE112" s="220"/>
      <c r="AF112" s="353">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52">
        <f t="shared" si="3"/>
        <v>74</v>
      </c>
      <c r="B113" s="632"/>
      <c r="C113" s="633"/>
      <c r="D113" s="633"/>
      <c r="E113" s="633"/>
      <c r="F113" s="633"/>
      <c r="G113" s="633"/>
      <c r="H113" s="633"/>
      <c r="I113" s="633"/>
      <c r="J113" s="633"/>
      <c r="K113" s="633"/>
      <c r="L113" s="634"/>
      <c r="M113" s="634"/>
      <c r="N113" s="634"/>
      <c r="O113" s="634"/>
      <c r="P113" s="634"/>
      <c r="Q113" s="630"/>
      <c r="R113" s="630"/>
      <c r="S113" s="630"/>
      <c r="T113" s="630"/>
      <c r="U113" s="630"/>
      <c r="V113" s="218"/>
      <c r="W113" s="629"/>
      <c r="X113" s="629"/>
      <c r="Y113" s="629"/>
      <c r="Z113" s="629"/>
      <c r="AA113" s="629"/>
      <c r="AB113" s="629"/>
      <c r="AC113" s="350" t="str">
        <f>IFERROR(VLOOKUP(Z113,【参考】数式用!$A$4:$B$57,2,FALSE),"")</f>
        <v/>
      </c>
      <c r="AD113" s="217"/>
      <c r="AE113" s="220"/>
      <c r="AF113" s="353">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52">
        <f t="shared" si="3"/>
        <v>75</v>
      </c>
      <c r="B114" s="632"/>
      <c r="C114" s="633"/>
      <c r="D114" s="633"/>
      <c r="E114" s="633"/>
      <c r="F114" s="633"/>
      <c r="G114" s="633"/>
      <c r="H114" s="633"/>
      <c r="I114" s="633"/>
      <c r="J114" s="633"/>
      <c r="K114" s="633"/>
      <c r="L114" s="634"/>
      <c r="M114" s="634"/>
      <c r="N114" s="634"/>
      <c r="O114" s="634"/>
      <c r="P114" s="634"/>
      <c r="Q114" s="630"/>
      <c r="R114" s="630"/>
      <c r="S114" s="630"/>
      <c r="T114" s="630"/>
      <c r="U114" s="630"/>
      <c r="V114" s="218"/>
      <c r="W114" s="629"/>
      <c r="X114" s="629"/>
      <c r="Y114" s="629"/>
      <c r="Z114" s="629"/>
      <c r="AA114" s="629"/>
      <c r="AB114" s="629"/>
      <c r="AC114" s="350" t="str">
        <f>IFERROR(VLOOKUP(Z114,【参考】数式用!$A$4:$B$57,2,FALSE),"")</f>
        <v/>
      </c>
      <c r="AD114" s="217"/>
      <c r="AE114" s="220"/>
      <c r="AF114" s="353">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52">
        <f t="shared" si="3"/>
        <v>76</v>
      </c>
      <c r="B115" s="632"/>
      <c r="C115" s="633"/>
      <c r="D115" s="633"/>
      <c r="E115" s="633"/>
      <c r="F115" s="633"/>
      <c r="G115" s="633"/>
      <c r="H115" s="633"/>
      <c r="I115" s="633"/>
      <c r="J115" s="633"/>
      <c r="K115" s="633"/>
      <c r="L115" s="634"/>
      <c r="M115" s="634"/>
      <c r="N115" s="634"/>
      <c r="O115" s="634"/>
      <c r="P115" s="634"/>
      <c r="Q115" s="630"/>
      <c r="R115" s="630"/>
      <c r="S115" s="630"/>
      <c r="T115" s="630"/>
      <c r="U115" s="630"/>
      <c r="V115" s="218"/>
      <c r="W115" s="629"/>
      <c r="X115" s="629"/>
      <c r="Y115" s="629"/>
      <c r="Z115" s="629"/>
      <c r="AA115" s="629"/>
      <c r="AB115" s="629"/>
      <c r="AC115" s="350" t="str">
        <f>IFERROR(VLOOKUP(Z115,【参考】数式用!$A$4:$B$57,2,FALSE),"")</f>
        <v/>
      </c>
      <c r="AD115" s="217"/>
      <c r="AE115" s="220"/>
      <c r="AF115" s="353">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52">
        <f t="shared" si="3"/>
        <v>77</v>
      </c>
      <c r="B116" s="632"/>
      <c r="C116" s="633"/>
      <c r="D116" s="633"/>
      <c r="E116" s="633"/>
      <c r="F116" s="633"/>
      <c r="G116" s="633"/>
      <c r="H116" s="633"/>
      <c r="I116" s="633"/>
      <c r="J116" s="633"/>
      <c r="K116" s="633"/>
      <c r="L116" s="634"/>
      <c r="M116" s="634"/>
      <c r="N116" s="634"/>
      <c r="O116" s="634"/>
      <c r="P116" s="634"/>
      <c r="Q116" s="630"/>
      <c r="R116" s="630"/>
      <c r="S116" s="630"/>
      <c r="T116" s="630"/>
      <c r="U116" s="630"/>
      <c r="V116" s="218"/>
      <c r="W116" s="629"/>
      <c r="X116" s="629"/>
      <c r="Y116" s="629"/>
      <c r="Z116" s="629"/>
      <c r="AA116" s="629"/>
      <c r="AB116" s="629"/>
      <c r="AC116" s="350" t="str">
        <f>IFERROR(VLOOKUP(Z116,【参考】数式用!$A$4:$B$57,2,FALSE),"")</f>
        <v/>
      </c>
      <c r="AD116" s="217"/>
      <c r="AE116" s="220"/>
      <c r="AF116" s="353">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52">
        <f t="shared" si="3"/>
        <v>78</v>
      </c>
      <c r="B117" s="632"/>
      <c r="C117" s="633"/>
      <c r="D117" s="633"/>
      <c r="E117" s="633"/>
      <c r="F117" s="633"/>
      <c r="G117" s="633"/>
      <c r="H117" s="633"/>
      <c r="I117" s="633"/>
      <c r="J117" s="633"/>
      <c r="K117" s="633"/>
      <c r="L117" s="634"/>
      <c r="M117" s="634"/>
      <c r="N117" s="634"/>
      <c r="O117" s="634"/>
      <c r="P117" s="634"/>
      <c r="Q117" s="630"/>
      <c r="R117" s="630"/>
      <c r="S117" s="630"/>
      <c r="T117" s="630"/>
      <c r="U117" s="630"/>
      <c r="V117" s="218"/>
      <c r="W117" s="629"/>
      <c r="X117" s="629"/>
      <c r="Y117" s="629"/>
      <c r="Z117" s="629"/>
      <c r="AA117" s="629"/>
      <c r="AB117" s="629"/>
      <c r="AC117" s="350" t="str">
        <f>IFERROR(VLOOKUP(Z117,【参考】数式用!$A$4:$B$57,2,FALSE),"")</f>
        <v/>
      </c>
      <c r="AD117" s="217"/>
      <c r="AE117" s="220"/>
      <c r="AF117" s="353">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52">
        <f t="shared" si="3"/>
        <v>79</v>
      </c>
      <c r="B118" s="632"/>
      <c r="C118" s="633"/>
      <c r="D118" s="633"/>
      <c r="E118" s="633"/>
      <c r="F118" s="633"/>
      <c r="G118" s="633"/>
      <c r="H118" s="633"/>
      <c r="I118" s="633"/>
      <c r="J118" s="633"/>
      <c r="K118" s="633"/>
      <c r="L118" s="634"/>
      <c r="M118" s="634"/>
      <c r="N118" s="634"/>
      <c r="O118" s="634"/>
      <c r="P118" s="634"/>
      <c r="Q118" s="630"/>
      <c r="R118" s="630"/>
      <c r="S118" s="630"/>
      <c r="T118" s="630"/>
      <c r="U118" s="630"/>
      <c r="V118" s="218"/>
      <c r="W118" s="629"/>
      <c r="X118" s="629"/>
      <c r="Y118" s="629"/>
      <c r="Z118" s="629"/>
      <c r="AA118" s="629"/>
      <c r="AB118" s="629"/>
      <c r="AC118" s="350" t="str">
        <f>IFERROR(VLOOKUP(Z118,【参考】数式用!$A$4:$B$57,2,FALSE),"")</f>
        <v/>
      </c>
      <c r="AD118" s="217"/>
      <c r="AE118" s="220"/>
      <c r="AF118" s="353">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52">
        <f t="shared" si="3"/>
        <v>80</v>
      </c>
      <c r="B119" s="632"/>
      <c r="C119" s="633"/>
      <c r="D119" s="633"/>
      <c r="E119" s="633"/>
      <c r="F119" s="633"/>
      <c r="G119" s="633"/>
      <c r="H119" s="633"/>
      <c r="I119" s="633"/>
      <c r="J119" s="633"/>
      <c r="K119" s="633"/>
      <c r="L119" s="634"/>
      <c r="M119" s="634"/>
      <c r="N119" s="634"/>
      <c r="O119" s="634"/>
      <c r="P119" s="634"/>
      <c r="Q119" s="630"/>
      <c r="R119" s="630"/>
      <c r="S119" s="630"/>
      <c r="T119" s="630"/>
      <c r="U119" s="630"/>
      <c r="V119" s="218"/>
      <c r="W119" s="629"/>
      <c r="X119" s="629"/>
      <c r="Y119" s="629"/>
      <c r="Z119" s="629"/>
      <c r="AA119" s="629"/>
      <c r="AB119" s="629"/>
      <c r="AC119" s="350" t="str">
        <f>IFERROR(VLOOKUP(Z119,【参考】数式用!$A$4:$B$57,2,FALSE),"")</f>
        <v/>
      </c>
      <c r="AD119" s="217"/>
      <c r="AE119" s="220"/>
      <c r="AF119" s="353">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52">
        <f t="shared" si="3"/>
        <v>81</v>
      </c>
      <c r="B120" s="632"/>
      <c r="C120" s="633"/>
      <c r="D120" s="633"/>
      <c r="E120" s="633"/>
      <c r="F120" s="633"/>
      <c r="G120" s="633"/>
      <c r="H120" s="633"/>
      <c r="I120" s="633"/>
      <c r="J120" s="633"/>
      <c r="K120" s="633"/>
      <c r="L120" s="634"/>
      <c r="M120" s="634"/>
      <c r="N120" s="634"/>
      <c r="O120" s="634"/>
      <c r="P120" s="634"/>
      <c r="Q120" s="630"/>
      <c r="R120" s="630"/>
      <c r="S120" s="630"/>
      <c r="T120" s="630"/>
      <c r="U120" s="630"/>
      <c r="V120" s="218"/>
      <c r="W120" s="629"/>
      <c r="X120" s="629"/>
      <c r="Y120" s="629"/>
      <c r="Z120" s="629"/>
      <c r="AA120" s="629"/>
      <c r="AB120" s="629"/>
      <c r="AC120" s="350" t="str">
        <f>IFERROR(VLOOKUP(Z120,【参考】数式用!$A$4:$B$57,2,FALSE),"")</f>
        <v/>
      </c>
      <c r="AD120" s="217"/>
      <c r="AE120" s="220"/>
      <c r="AF120" s="353">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52">
        <f t="shared" si="3"/>
        <v>82</v>
      </c>
      <c r="B121" s="632"/>
      <c r="C121" s="633"/>
      <c r="D121" s="633"/>
      <c r="E121" s="633"/>
      <c r="F121" s="633"/>
      <c r="G121" s="633"/>
      <c r="H121" s="633"/>
      <c r="I121" s="633"/>
      <c r="J121" s="633"/>
      <c r="K121" s="633"/>
      <c r="L121" s="634"/>
      <c r="M121" s="634"/>
      <c r="N121" s="634"/>
      <c r="O121" s="634"/>
      <c r="P121" s="634"/>
      <c r="Q121" s="630"/>
      <c r="R121" s="630"/>
      <c r="S121" s="630"/>
      <c r="T121" s="630"/>
      <c r="U121" s="630"/>
      <c r="V121" s="218"/>
      <c r="W121" s="629"/>
      <c r="X121" s="629"/>
      <c r="Y121" s="629"/>
      <c r="Z121" s="629"/>
      <c r="AA121" s="629"/>
      <c r="AB121" s="629"/>
      <c r="AC121" s="350" t="str">
        <f>IFERROR(VLOOKUP(Z121,【参考】数式用!$A$4:$B$57,2,FALSE),"")</f>
        <v/>
      </c>
      <c r="AD121" s="217"/>
      <c r="AE121" s="220"/>
      <c r="AF121" s="353">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52">
        <f t="shared" si="3"/>
        <v>83</v>
      </c>
      <c r="B122" s="632"/>
      <c r="C122" s="633"/>
      <c r="D122" s="633"/>
      <c r="E122" s="633"/>
      <c r="F122" s="633"/>
      <c r="G122" s="633"/>
      <c r="H122" s="633"/>
      <c r="I122" s="633"/>
      <c r="J122" s="633"/>
      <c r="K122" s="633"/>
      <c r="L122" s="634"/>
      <c r="M122" s="634"/>
      <c r="N122" s="634"/>
      <c r="O122" s="634"/>
      <c r="P122" s="634"/>
      <c r="Q122" s="630"/>
      <c r="R122" s="630"/>
      <c r="S122" s="630"/>
      <c r="T122" s="630"/>
      <c r="U122" s="630"/>
      <c r="V122" s="218"/>
      <c r="W122" s="629"/>
      <c r="X122" s="629"/>
      <c r="Y122" s="629"/>
      <c r="Z122" s="629"/>
      <c r="AA122" s="629"/>
      <c r="AB122" s="629"/>
      <c r="AC122" s="350" t="str">
        <f>IFERROR(VLOOKUP(Z122,【参考】数式用!$A$4:$B$57,2,FALSE),"")</f>
        <v/>
      </c>
      <c r="AD122" s="217"/>
      <c r="AE122" s="220"/>
      <c r="AF122" s="353">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52">
        <f t="shared" si="3"/>
        <v>84</v>
      </c>
      <c r="B123" s="632"/>
      <c r="C123" s="633"/>
      <c r="D123" s="633"/>
      <c r="E123" s="633"/>
      <c r="F123" s="633"/>
      <c r="G123" s="633"/>
      <c r="H123" s="633"/>
      <c r="I123" s="633"/>
      <c r="J123" s="633"/>
      <c r="K123" s="633"/>
      <c r="L123" s="634"/>
      <c r="M123" s="634"/>
      <c r="N123" s="634"/>
      <c r="O123" s="634"/>
      <c r="P123" s="634"/>
      <c r="Q123" s="630"/>
      <c r="R123" s="630"/>
      <c r="S123" s="630"/>
      <c r="T123" s="630"/>
      <c r="U123" s="630"/>
      <c r="V123" s="218"/>
      <c r="W123" s="629"/>
      <c r="X123" s="629"/>
      <c r="Y123" s="629"/>
      <c r="Z123" s="629"/>
      <c r="AA123" s="629"/>
      <c r="AB123" s="629"/>
      <c r="AC123" s="350" t="str">
        <f>IFERROR(VLOOKUP(Z123,【参考】数式用!$A$4:$B$57,2,FALSE),"")</f>
        <v/>
      </c>
      <c r="AD123" s="217"/>
      <c r="AE123" s="220"/>
      <c r="AF123" s="353">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52">
        <f t="shared" si="3"/>
        <v>85</v>
      </c>
      <c r="B124" s="632"/>
      <c r="C124" s="633"/>
      <c r="D124" s="633"/>
      <c r="E124" s="633"/>
      <c r="F124" s="633"/>
      <c r="G124" s="633"/>
      <c r="H124" s="633"/>
      <c r="I124" s="633"/>
      <c r="J124" s="633"/>
      <c r="K124" s="633"/>
      <c r="L124" s="634"/>
      <c r="M124" s="634"/>
      <c r="N124" s="634"/>
      <c r="O124" s="634"/>
      <c r="P124" s="634"/>
      <c r="Q124" s="630"/>
      <c r="R124" s="630"/>
      <c r="S124" s="630"/>
      <c r="T124" s="630"/>
      <c r="U124" s="630"/>
      <c r="V124" s="218"/>
      <c r="W124" s="629"/>
      <c r="X124" s="629"/>
      <c r="Y124" s="629"/>
      <c r="Z124" s="629"/>
      <c r="AA124" s="629"/>
      <c r="AB124" s="629"/>
      <c r="AC124" s="350" t="str">
        <f>IFERROR(VLOOKUP(Z124,【参考】数式用!$A$4:$B$57,2,FALSE),"")</f>
        <v/>
      </c>
      <c r="AD124" s="217"/>
      <c r="AE124" s="220"/>
      <c r="AF124" s="353">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52">
        <f t="shared" si="3"/>
        <v>86</v>
      </c>
      <c r="B125" s="632"/>
      <c r="C125" s="633"/>
      <c r="D125" s="633"/>
      <c r="E125" s="633"/>
      <c r="F125" s="633"/>
      <c r="G125" s="633"/>
      <c r="H125" s="633"/>
      <c r="I125" s="633"/>
      <c r="J125" s="633"/>
      <c r="K125" s="633"/>
      <c r="L125" s="634"/>
      <c r="M125" s="634"/>
      <c r="N125" s="634"/>
      <c r="O125" s="634"/>
      <c r="P125" s="634"/>
      <c r="Q125" s="630"/>
      <c r="R125" s="630"/>
      <c r="S125" s="630"/>
      <c r="T125" s="630"/>
      <c r="U125" s="630"/>
      <c r="V125" s="218"/>
      <c r="W125" s="629"/>
      <c r="X125" s="629"/>
      <c r="Y125" s="629"/>
      <c r="Z125" s="629"/>
      <c r="AA125" s="629"/>
      <c r="AB125" s="629"/>
      <c r="AC125" s="350" t="str">
        <f>IFERROR(VLOOKUP(Z125,【参考】数式用!$A$4:$B$57,2,FALSE),"")</f>
        <v/>
      </c>
      <c r="AD125" s="217"/>
      <c r="AE125" s="220"/>
      <c r="AF125" s="353">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52">
        <f t="shared" si="3"/>
        <v>87</v>
      </c>
      <c r="B126" s="632"/>
      <c r="C126" s="633"/>
      <c r="D126" s="633"/>
      <c r="E126" s="633"/>
      <c r="F126" s="633"/>
      <c r="G126" s="633"/>
      <c r="H126" s="633"/>
      <c r="I126" s="633"/>
      <c r="J126" s="633"/>
      <c r="K126" s="633"/>
      <c r="L126" s="634"/>
      <c r="M126" s="634"/>
      <c r="N126" s="634"/>
      <c r="O126" s="634"/>
      <c r="P126" s="634"/>
      <c r="Q126" s="630"/>
      <c r="R126" s="630"/>
      <c r="S126" s="630"/>
      <c r="T126" s="630"/>
      <c r="U126" s="630"/>
      <c r="V126" s="218"/>
      <c r="W126" s="629"/>
      <c r="X126" s="629"/>
      <c r="Y126" s="629"/>
      <c r="Z126" s="629"/>
      <c r="AA126" s="629"/>
      <c r="AB126" s="629"/>
      <c r="AC126" s="350" t="str">
        <f>IFERROR(VLOOKUP(Z126,【参考】数式用!$A$4:$B$57,2,FALSE),"")</f>
        <v/>
      </c>
      <c r="AD126" s="217"/>
      <c r="AE126" s="220"/>
      <c r="AF126" s="353">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52">
        <f t="shared" si="3"/>
        <v>88</v>
      </c>
      <c r="B127" s="632"/>
      <c r="C127" s="633"/>
      <c r="D127" s="633"/>
      <c r="E127" s="633"/>
      <c r="F127" s="633"/>
      <c r="G127" s="633"/>
      <c r="H127" s="633"/>
      <c r="I127" s="633"/>
      <c r="J127" s="633"/>
      <c r="K127" s="633"/>
      <c r="L127" s="634"/>
      <c r="M127" s="634"/>
      <c r="N127" s="634"/>
      <c r="O127" s="634"/>
      <c r="P127" s="634"/>
      <c r="Q127" s="630"/>
      <c r="R127" s="630"/>
      <c r="S127" s="630"/>
      <c r="T127" s="630"/>
      <c r="U127" s="630"/>
      <c r="V127" s="218"/>
      <c r="W127" s="629"/>
      <c r="X127" s="629"/>
      <c r="Y127" s="629"/>
      <c r="Z127" s="629"/>
      <c r="AA127" s="629"/>
      <c r="AB127" s="629"/>
      <c r="AC127" s="350" t="str">
        <f>IFERROR(VLOOKUP(Z127,【参考】数式用!$A$4:$B$57,2,FALSE),"")</f>
        <v/>
      </c>
      <c r="AD127" s="217"/>
      <c r="AE127" s="220"/>
      <c r="AF127" s="353">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52">
        <f t="shared" si="3"/>
        <v>89</v>
      </c>
      <c r="B128" s="632"/>
      <c r="C128" s="633"/>
      <c r="D128" s="633"/>
      <c r="E128" s="633"/>
      <c r="F128" s="633"/>
      <c r="G128" s="633"/>
      <c r="H128" s="633"/>
      <c r="I128" s="633"/>
      <c r="J128" s="633"/>
      <c r="K128" s="633"/>
      <c r="L128" s="634"/>
      <c r="M128" s="634"/>
      <c r="N128" s="634"/>
      <c r="O128" s="634"/>
      <c r="P128" s="634"/>
      <c r="Q128" s="630"/>
      <c r="R128" s="630"/>
      <c r="S128" s="630"/>
      <c r="T128" s="630"/>
      <c r="U128" s="630"/>
      <c r="V128" s="218"/>
      <c r="W128" s="629"/>
      <c r="X128" s="629"/>
      <c r="Y128" s="629"/>
      <c r="Z128" s="629"/>
      <c r="AA128" s="629"/>
      <c r="AB128" s="629"/>
      <c r="AC128" s="350" t="str">
        <f>IFERROR(VLOOKUP(Z128,【参考】数式用!$A$4:$B$57,2,FALSE),"")</f>
        <v/>
      </c>
      <c r="AD128" s="217"/>
      <c r="AE128" s="220"/>
      <c r="AF128" s="353">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52">
        <f t="shared" si="3"/>
        <v>90</v>
      </c>
      <c r="B129" s="632"/>
      <c r="C129" s="633"/>
      <c r="D129" s="633"/>
      <c r="E129" s="633"/>
      <c r="F129" s="633"/>
      <c r="G129" s="633"/>
      <c r="H129" s="633"/>
      <c r="I129" s="633"/>
      <c r="J129" s="633"/>
      <c r="K129" s="633"/>
      <c r="L129" s="634"/>
      <c r="M129" s="634"/>
      <c r="N129" s="634"/>
      <c r="O129" s="634"/>
      <c r="P129" s="634"/>
      <c r="Q129" s="630"/>
      <c r="R129" s="630"/>
      <c r="S129" s="630"/>
      <c r="T129" s="630"/>
      <c r="U129" s="630"/>
      <c r="V129" s="218"/>
      <c r="W129" s="629"/>
      <c r="X129" s="629"/>
      <c r="Y129" s="629"/>
      <c r="Z129" s="629"/>
      <c r="AA129" s="629"/>
      <c r="AB129" s="629"/>
      <c r="AC129" s="350" t="str">
        <f>IFERROR(VLOOKUP(Z129,【参考】数式用!$A$4:$B$57,2,FALSE),"")</f>
        <v/>
      </c>
      <c r="AD129" s="217"/>
      <c r="AE129" s="220"/>
      <c r="AF129" s="353">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52">
        <f t="shared" si="3"/>
        <v>91</v>
      </c>
      <c r="B130" s="632"/>
      <c r="C130" s="633"/>
      <c r="D130" s="633"/>
      <c r="E130" s="633"/>
      <c r="F130" s="633"/>
      <c r="G130" s="633"/>
      <c r="H130" s="633"/>
      <c r="I130" s="633"/>
      <c r="J130" s="633"/>
      <c r="K130" s="633"/>
      <c r="L130" s="634"/>
      <c r="M130" s="634"/>
      <c r="N130" s="634"/>
      <c r="O130" s="634"/>
      <c r="P130" s="634"/>
      <c r="Q130" s="630"/>
      <c r="R130" s="630"/>
      <c r="S130" s="630"/>
      <c r="T130" s="630"/>
      <c r="U130" s="630"/>
      <c r="V130" s="218"/>
      <c r="W130" s="629"/>
      <c r="X130" s="629"/>
      <c r="Y130" s="629"/>
      <c r="Z130" s="629"/>
      <c r="AA130" s="629"/>
      <c r="AB130" s="629"/>
      <c r="AC130" s="350" t="str">
        <f>IFERROR(VLOOKUP(Z130,【参考】数式用!$A$4:$B$57,2,FALSE),"")</f>
        <v/>
      </c>
      <c r="AD130" s="217"/>
      <c r="AE130" s="220"/>
      <c r="AF130" s="353">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52">
        <f t="shared" si="3"/>
        <v>92</v>
      </c>
      <c r="B131" s="632"/>
      <c r="C131" s="633"/>
      <c r="D131" s="633"/>
      <c r="E131" s="633"/>
      <c r="F131" s="633"/>
      <c r="G131" s="633"/>
      <c r="H131" s="633"/>
      <c r="I131" s="633"/>
      <c r="J131" s="633"/>
      <c r="K131" s="633"/>
      <c r="L131" s="634"/>
      <c r="M131" s="634"/>
      <c r="N131" s="634"/>
      <c r="O131" s="634"/>
      <c r="P131" s="634"/>
      <c r="Q131" s="630"/>
      <c r="R131" s="630"/>
      <c r="S131" s="630"/>
      <c r="T131" s="630"/>
      <c r="U131" s="630"/>
      <c r="V131" s="218"/>
      <c r="W131" s="629"/>
      <c r="X131" s="629"/>
      <c r="Y131" s="629"/>
      <c r="Z131" s="629"/>
      <c r="AA131" s="629"/>
      <c r="AB131" s="629"/>
      <c r="AC131" s="350" t="str">
        <f>IFERROR(VLOOKUP(Z131,【参考】数式用!$A$4:$B$57,2,FALSE),"")</f>
        <v/>
      </c>
      <c r="AD131" s="217"/>
      <c r="AE131" s="220"/>
      <c r="AF131" s="353">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52">
        <f t="shared" si="3"/>
        <v>93</v>
      </c>
      <c r="B132" s="632"/>
      <c r="C132" s="633"/>
      <c r="D132" s="633"/>
      <c r="E132" s="633"/>
      <c r="F132" s="633"/>
      <c r="G132" s="633"/>
      <c r="H132" s="633"/>
      <c r="I132" s="633"/>
      <c r="J132" s="633"/>
      <c r="K132" s="633"/>
      <c r="L132" s="634"/>
      <c r="M132" s="634"/>
      <c r="N132" s="634"/>
      <c r="O132" s="634"/>
      <c r="P132" s="634"/>
      <c r="Q132" s="630"/>
      <c r="R132" s="630"/>
      <c r="S132" s="630"/>
      <c r="T132" s="630"/>
      <c r="U132" s="630"/>
      <c r="V132" s="218"/>
      <c r="W132" s="629"/>
      <c r="X132" s="629"/>
      <c r="Y132" s="629"/>
      <c r="Z132" s="629"/>
      <c r="AA132" s="629"/>
      <c r="AB132" s="629"/>
      <c r="AC132" s="350" t="str">
        <f>IFERROR(VLOOKUP(Z132,【参考】数式用!$A$4:$B$57,2,FALSE),"")</f>
        <v/>
      </c>
      <c r="AD132" s="217"/>
      <c r="AE132" s="220"/>
      <c r="AF132" s="353">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52">
        <f t="shared" si="3"/>
        <v>94</v>
      </c>
      <c r="B133" s="632"/>
      <c r="C133" s="633"/>
      <c r="D133" s="633"/>
      <c r="E133" s="633"/>
      <c r="F133" s="633"/>
      <c r="G133" s="633"/>
      <c r="H133" s="633"/>
      <c r="I133" s="633"/>
      <c r="J133" s="633"/>
      <c r="K133" s="633"/>
      <c r="L133" s="634"/>
      <c r="M133" s="634"/>
      <c r="N133" s="634"/>
      <c r="O133" s="634"/>
      <c r="P133" s="634"/>
      <c r="Q133" s="630"/>
      <c r="R133" s="630"/>
      <c r="S133" s="630"/>
      <c r="T133" s="630"/>
      <c r="U133" s="630"/>
      <c r="V133" s="218"/>
      <c r="W133" s="629"/>
      <c r="X133" s="629"/>
      <c r="Y133" s="629"/>
      <c r="Z133" s="629"/>
      <c r="AA133" s="629"/>
      <c r="AB133" s="629"/>
      <c r="AC133" s="350" t="str">
        <f>IFERROR(VLOOKUP(Z133,【参考】数式用!$A$4:$B$57,2,FALSE),"")</f>
        <v/>
      </c>
      <c r="AD133" s="217"/>
      <c r="AE133" s="220"/>
      <c r="AF133" s="353">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52">
        <f t="shared" si="3"/>
        <v>95</v>
      </c>
      <c r="B134" s="632"/>
      <c r="C134" s="633"/>
      <c r="D134" s="633"/>
      <c r="E134" s="633"/>
      <c r="F134" s="633"/>
      <c r="G134" s="633"/>
      <c r="H134" s="633"/>
      <c r="I134" s="633"/>
      <c r="J134" s="633"/>
      <c r="K134" s="633"/>
      <c r="L134" s="634"/>
      <c r="M134" s="634"/>
      <c r="N134" s="634"/>
      <c r="O134" s="634"/>
      <c r="P134" s="634"/>
      <c r="Q134" s="630"/>
      <c r="R134" s="630"/>
      <c r="S134" s="630"/>
      <c r="T134" s="630"/>
      <c r="U134" s="630"/>
      <c r="V134" s="218"/>
      <c r="W134" s="629"/>
      <c r="X134" s="629"/>
      <c r="Y134" s="629"/>
      <c r="Z134" s="629"/>
      <c r="AA134" s="629"/>
      <c r="AB134" s="629"/>
      <c r="AC134" s="350" t="str">
        <f>IFERROR(VLOOKUP(Z134,【参考】数式用!$A$4:$B$57,2,FALSE),"")</f>
        <v/>
      </c>
      <c r="AD134" s="217"/>
      <c r="AE134" s="220"/>
      <c r="AF134" s="353">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52">
        <f t="shared" si="3"/>
        <v>96</v>
      </c>
      <c r="B135" s="632"/>
      <c r="C135" s="633"/>
      <c r="D135" s="633"/>
      <c r="E135" s="633"/>
      <c r="F135" s="633"/>
      <c r="G135" s="633"/>
      <c r="H135" s="633"/>
      <c r="I135" s="633"/>
      <c r="J135" s="633"/>
      <c r="K135" s="633"/>
      <c r="L135" s="634"/>
      <c r="M135" s="634"/>
      <c r="N135" s="634"/>
      <c r="O135" s="634"/>
      <c r="P135" s="634"/>
      <c r="Q135" s="630"/>
      <c r="R135" s="630"/>
      <c r="S135" s="630"/>
      <c r="T135" s="630"/>
      <c r="U135" s="630"/>
      <c r="V135" s="218"/>
      <c r="W135" s="629"/>
      <c r="X135" s="629"/>
      <c r="Y135" s="629"/>
      <c r="Z135" s="629"/>
      <c r="AA135" s="629"/>
      <c r="AB135" s="629"/>
      <c r="AC135" s="350" t="str">
        <f>IFERROR(VLOOKUP(Z135,【参考】数式用!$A$4:$B$57,2,FALSE),"")</f>
        <v/>
      </c>
      <c r="AD135" s="217"/>
      <c r="AE135" s="220"/>
      <c r="AF135" s="353">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52">
        <f t="shared" si="3"/>
        <v>97</v>
      </c>
      <c r="B136" s="632"/>
      <c r="C136" s="633"/>
      <c r="D136" s="633"/>
      <c r="E136" s="633"/>
      <c r="F136" s="633"/>
      <c r="G136" s="633"/>
      <c r="H136" s="633"/>
      <c r="I136" s="633"/>
      <c r="J136" s="633"/>
      <c r="K136" s="633"/>
      <c r="L136" s="634"/>
      <c r="M136" s="634"/>
      <c r="N136" s="634"/>
      <c r="O136" s="634"/>
      <c r="P136" s="634"/>
      <c r="Q136" s="630"/>
      <c r="R136" s="630"/>
      <c r="S136" s="630"/>
      <c r="T136" s="630"/>
      <c r="U136" s="630"/>
      <c r="V136" s="218"/>
      <c r="W136" s="629"/>
      <c r="X136" s="629"/>
      <c r="Y136" s="629"/>
      <c r="Z136" s="629"/>
      <c r="AA136" s="629"/>
      <c r="AB136" s="629"/>
      <c r="AC136" s="350" t="str">
        <f>IFERROR(VLOOKUP(Z136,【参考】数式用!$A$4:$B$57,2,FALSE),"")</f>
        <v/>
      </c>
      <c r="AD136" s="217"/>
      <c r="AE136" s="220"/>
      <c r="AF136" s="353">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52">
        <f t="shared" si="3"/>
        <v>98</v>
      </c>
      <c r="B137" s="632"/>
      <c r="C137" s="633"/>
      <c r="D137" s="633"/>
      <c r="E137" s="633"/>
      <c r="F137" s="633"/>
      <c r="G137" s="633"/>
      <c r="H137" s="633"/>
      <c r="I137" s="633"/>
      <c r="J137" s="633"/>
      <c r="K137" s="633"/>
      <c r="L137" s="634"/>
      <c r="M137" s="634"/>
      <c r="N137" s="634"/>
      <c r="O137" s="634"/>
      <c r="P137" s="634"/>
      <c r="Q137" s="630"/>
      <c r="R137" s="630"/>
      <c r="S137" s="630"/>
      <c r="T137" s="630"/>
      <c r="U137" s="630"/>
      <c r="V137" s="218"/>
      <c r="W137" s="629"/>
      <c r="X137" s="629"/>
      <c r="Y137" s="629"/>
      <c r="Z137" s="629"/>
      <c r="AA137" s="629"/>
      <c r="AB137" s="629"/>
      <c r="AC137" s="350" t="str">
        <f>IFERROR(VLOOKUP(Z137,【参考】数式用!$A$4:$B$57,2,FALSE),"")</f>
        <v/>
      </c>
      <c r="AD137" s="217"/>
      <c r="AE137" s="220"/>
      <c r="AF137" s="353">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52">
        <f t="shared" si="3"/>
        <v>99</v>
      </c>
      <c r="B138" s="632"/>
      <c r="C138" s="633"/>
      <c r="D138" s="633"/>
      <c r="E138" s="633"/>
      <c r="F138" s="633"/>
      <c r="G138" s="633"/>
      <c r="H138" s="633"/>
      <c r="I138" s="633"/>
      <c r="J138" s="633"/>
      <c r="K138" s="633"/>
      <c r="L138" s="634"/>
      <c r="M138" s="634"/>
      <c r="N138" s="634"/>
      <c r="O138" s="634"/>
      <c r="P138" s="634"/>
      <c r="Q138" s="630"/>
      <c r="R138" s="630"/>
      <c r="S138" s="630"/>
      <c r="T138" s="630"/>
      <c r="U138" s="630"/>
      <c r="V138" s="218"/>
      <c r="W138" s="629"/>
      <c r="X138" s="629"/>
      <c r="Y138" s="629"/>
      <c r="Z138" s="629"/>
      <c r="AA138" s="629"/>
      <c r="AB138" s="629"/>
      <c r="AC138" s="350" t="str">
        <f>IFERROR(VLOOKUP(Z138,【参考】数式用!$A$4:$B$57,2,FALSE),"")</f>
        <v/>
      </c>
      <c r="AD138" s="217"/>
      <c r="AE138" s="220"/>
      <c r="AF138" s="353">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52">
        <f t="shared" si="3"/>
        <v>100</v>
      </c>
      <c r="B139" s="632"/>
      <c r="C139" s="633"/>
      <c r="D139" s="633"/>
      <c r="E139" s="633"/>
      <c r="F139" s="633"/>
      <c r="G139" s="633"/>
      <c r="H139" s="633"/>
      <c r="I139" s="633"/>
      <c r="J139" s="633"/>
      <c r="K139" s="633"/>
      <c r="L139" s="634"/>
      <c r="M139" s="634"/>
      <c r="N139" s="634"/>
      <c r="O139" s="634"/>
      <c r="P139" s="634"/>
      <c r="Q139" s="630"/>
      <c r="R139" s="630"/>
      <c r="S139" s="630"/>
      <c r="T139" s="630"/>
      <c r="U139" s="630"/>
      <c r="V139" s="218"/>
      <c r="W139" s="629"/>
      <c r="X139" s="629"/>
      <c r="Y139" s="629"/>
      <c r="Z139" s="629"/>
      <c r="AA139" s="629"/>
      <c r="AB139" s="629"/>
      <c r="AC139" s="350" t="str">
        <f>IFERROR(VLOOKUP(Z139,【参考】数式用!$A$4:$B$57,2,FALSE),"")</f>
        <v/>
      </c>
      <c r="AD139" s="217"/>
      <c r="AE139" s="220"/>
      <c r="AF139" s="353">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sort="0" autoFilter="0"/>
  <dataConsolidate/>
  <mergeCells count="559">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51:P51"/>
    <mergeCell ref="L101:P101"/>
    <mergeCell ref="L102:P102"/>
    <mergeCell ref="L96:P96"/>
    <mergeCell ref="L71:P71"/>
    <mergeCell ref="B95:K95"/>
    <mergeCell ref="L100:P100"/>
    <mergeCell ref="L97:P97"/>
    <mergeCell ref="L98:P98"/>
    <mergeCell ref="B70:K70"/>
    <mergeCell ref="B73:K73"/>
    <mergeCell ref="L69:P69"/>
    <mergeCell ref="L86:P86"/>
    <mergeCell ref="L72:P72"/>
    <mergeCell ref="L81:P81"/>
    <mergeCell ref="B76:K76"/>
    <mergeCell ref="B74:K74"/>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B59:K59"/>
    <mergeCell ref="B100:K100"/>
    <mergeCell ref="B81:K81"/>
    <mergeCell ref="B92:K92"/>
    <mergeCell ref="B93:K93"/>
    <mergeCell ref="B86:K86"/>
    <mergeCell ref="B87:K87"/>
    <mergeCell ref="B88:K8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L57:P57"/>
    <mergeCell ref="B55:K55"/>
    <mergeCell ref="B54:K54"/>
    <mergeCell ref="L53:P53"/>
    <mergeCell ref="Q53:U53"/>
    <mergeCell ref="B56:K56"/>
    <mergeCell ref="Q52:U52"/>
    <mergeCell ref="B57:K57"/>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B49:K49"/>
    <mergeCell ref="B50:K50"/>
    <mergeCell ref="B51:K51"/>
    <mergeCell ref="B52:K52"/>
    <mergeCell ref="B53:K53"/>
    <mergeCell ref="L50:P50"/>
    <mergeCell ref="L55:P55"/>
    <mergeCell ref="L56:P56"/>
    <mergeCell ref="AG38:AG39"/>
    <mergeCell ref="Q38:V38"/>
    <mergeCell ref="AE38:AE39"/>
    <mergeCell ref="Q39:U39"/>
    <mergeCell ref="L46:P46"/>
    <mergeCell ref="L45:P45"/>
    <mergeCell ref="L44:P44"/>
    <mergeCell ref="Q55:U55"/>
    <mergeCell ref="L52:P52"/>
    <mergeCell ref="L54:P54"/>
    <mergeCell ref="Q56:U56"/>
    <mergeCell ref="Q50:U50"/>
    <mergeCell ref="Q51:U51"/>
    <mergeCell ref="L47:P47"/>
    <mergeCell ref="L48:P48"/>
    <mergeCell ref="Q46:U4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6" zoomScale="102" zoomScaleNormal="120" zoomScaleSheetLayoutView="104" zoomScalePageLayoutView="64" workbookViewId="0">
      <selection activeCell="Q17" sqref="Q17:V17"/>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26"/>
      <c r="B1" s="355" t="s">
        <v>55</v>
      </c>
      <c r="C1" s="356"/>
      <c r="D1" s="356"/>
      <c r="E1" s="356"/>
      <c r="F1" s="356"/>
      <c r="G1" s="356"/>
      <c r="H1" s="356"/>
      <c r="I1" s="356"/>
      <c r="J1" s="356"/>
      <c r="K1" s="356"/>
      <c r="L1" s="356"/>
      <c r="M1" s="356"/>
      <c r="N1" s="356"/>
      <c r="O1" s="356"/>
      <c r="P1" s="356"/>
      <c r="Q1" s="356"/>
      <c r="R1" s="356"/>
      <c r="S1" s="356"/>
      <c r="T1" s="356"/>
      <c r="U1" s="356"/>
      <c r="V1" s="356"/>
      <c r="W1" s="356"/>
      <c r="X1" s="356"/>
      <c r="Y1" s="356"/>
      <c r="Z1" s="157"/>
      <c r="AA1" s="157"/>
      <c r="AB1" s="157"/>
      <c r="AC1" s="849" t="s">
        <v>5</v>
      </c>
      <c r="AD1" s="849"/>
      <c r="AE1" s="849"/>
      <c r="AF1" s="849" t="str">
        <f>IF(基本情報入力シート!C11="","",基本情報入力シート!C11)</f>
        <v/>
      </c>
      <c r="AG1" s="849"/>
      <c r="AH1" s="849"/>
      <c r="AI1" s="849"/>
      <c r="AJ1" s="849"/>
      <c r="AK1" s="850"/>
      <c r="AL1" s="26"/>
      <c r="AM1" s="26"/>
      <c r="AN1" s="26"/>
      <c r="AO1" s="26"/>
      <c r="AP1" s="26"/>
      <c r="AQ1" s="26"/>
      <c r="AR1" s="26"/>
      <c r="AS1" s="26"/>
      <c r="AT1" s="26"/>
      <c r="AU1" s="26"/>
      <c r="AV1" s="26"/>
      <c r="AW1" s="26"/>
      <c r="AX1" s="26"/>
      <c r="AY1" s="26"/>
    </row>
    <row r="2" spans="1:51" ht="4.1500000000000004" customHeight="1">
      <c r="A2" s="2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26"/>
      <c r="AM2" s="26"/>
      <c r="AN2" s="26"/>
      <c r="AO2" s="26"/>
      <c r="AP2" s="26"/>
      <c r="AQ2" s="26"/>
      <c r="AR2" s="26"/>
      <c r="AS2" s="26"/>
      <c r="AT2" s="26"/>
      <c r="AU2" s="26"/>
      <c r="AV2" s="26"/>
      <c r="AW2" s="26"/>
      <c r="AX2" s="26"/>
      <c r="AY2" s="26"/>
    </row>
    <row r="3" spans="1:51" ht="18.649999999999999" customHeight="1">
      <c r="A3" s="26"/>
      <c r="B3" s="862" t="s">
        <v>56</v>
      </c>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862"/>
      <c r="AJ3" s="862"/>
      <c r="AK3" s="862"/>
      <c r="AL3" s="357"/>
      <c r="AM3" s="358"/>
      <c r="AN3" s="26"/>
      <c r="AO3" s="26"/>
      <c r="AP3" s="26"/>
      <c r="AQ3" s="26"/>
      <c r="AR3" s="26"/>
      <c r="AS3" s="26"/>
      <c r="AT3" s="26"/>
      <c r="AU3" s="26"/>
      <c r="AV3" s="26"/>
      <c r="AW3" s="26"/>
      <c r="AX3" s="26"/>
      <c r="AY3" s="26"/>
    </row>
    <row r="4" spans="1:51" ht="19.5" customHeight="1">
      <c r="A4" s="26"/>
      <c r="B4" s="359" t="s">
        <v>57</v>
      </c>
      <c r="C4" s="359"/>
      <c r="D4" s="359"/>
      <c r="E4" s="359"/>
      <c r="F4" s="359"/>
      <c r="G4" s="359"/>
      <c r="H4" s="359"/>
      <c r="I4" s="359"/>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c r="AI4" s="360"/>
      <c r="AJ4" s="360"/>
      <c r="AK4" s="360"/>
      <c r="AL4" s="26"/>
      <c r="AM4" s="26"/>
      <c r="AN4" s="26"/>
      <c r="AO4" s="26"/>
      <c r="AP4" s="26"/>
      <c r="AQ4" s="26"/>
      <c r="AR4" s="26"/>
      <c r="AS4" s="26"/>
      <c r="AT4" s="26"/>
      <c r="AU4" s="26"/>
      <c r="AV4" s="26"/>
      <c r="AW4" s="26"/>
      <c r="AX4" s="26"/>
      <c r="AY4" s="26"/>
    </row>
    <row r="5" spans="1:51" s="23" customFormat="1" ht="13.5" customHeight="1">
      <c r="A5" s="361"/>
      <c r="B5" s="863" t="s">
        <v>10</v>
      </c>
      <c r="C5" s="863"/>
      <c r="D5" s="863"/>
      <c r="E5" s="863"/>
      <c r="F5" s="863"/>
      <c r="G5" s="863"/>
      <c r="H5" s="864" t="str">
        <f>IF(基本情報入力シート!L15="","",基本情報入力シート!L15)</f>
        <v/>
      </c>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c r="AI5" s="864"/>
      <c r="AJ5" s="864"/>
      <c r="AK5" s="865"/>
      <c r="AL5" s="361"/>
      <c r="AM5" s="361"/>
      <c r="AN5" s="361"/>
      <c r="AO5" s="361"/>
      <c r="AP5" s="361"/>
      <c r="AQ5" s="361"/>
      <c r="AR5" s="361"/>
      <c r="AS5" s="361"/>
      <c r="AT5" s="361"/>
      <c r="AU5" s="361"/>
      <c r="AV5" s="361"/>
      <c r="AW5" s="361"/>
      <c r="AX5" s="361"/>
      <c r="AY5" s="361"/>
    </row>
    <row r="6" spans="1:51" s="23" customFormat="1" ht="25.5" customHeight="1">
      <c r="A6" s="361"/>
      <c r="B6" s="866" t="s">
        <v>58</v>
      </c>
      <c r="C6" s="866"/>
      <c r="D6" s="866"/>
      <c r="E6" s="866"/>
      <c r="F6" s="866"/>
      <c r="G6" s="866"/>
      <c r="H6" s="867" t="str">
        <f>IF(基本情報入力シート!L16="","",基本情報入力シート!L16)</f>
        <v/>
      </c>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8"/>
      <c r="AL6" s="361"/>
      <c r="AM6" s="361"/>
      <c r="AN6" s="361"/>
      <c r="AO6" s="361"/>
      <c r="AP6" s="361"/>
      <c r="AQ6" s="361"/>
      <c r="AR6" s="361"/>
      <c r="AS6" s="361"/>
      <c r="AT6" s="361"/>
      <c r="AU6" s="361"/>
      <c r="AV6" s="361"/>
      <c r="AW6" s="361"/>
      <c r="AX6" s="361"/>
      <c r="AY6" s="361"/>
    </row>
    <row r="7" spans="1:51" s="23" customFormat="1" ht="12.75" customHeight="1">
      <c r="A7" s="361"/>
      <c r="B7" s="869" t="s">
        <v>59</v>
      </c>
      <c r="C7" s="869"/>
      <c r="D7" s="869"/>
      <c r="E7" s="869"/>
      <c r="F7" s="869"/>
      <c r="G7" s="869"/>
      <c r="H7" s="362" t="s">
        <v>13</v>
      </c>
      <c r="I7" s="870" t="str">
        <f>IF(基本情報入力シート!AO18="－","",基本情報入力シート!AO18)</f>
        <v>-</v>
      </c>
      <c r="J7" s="870"/>
      <c r="K7" s="870"/>
      <c r="L7" s="870"/>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364"/>
      <c r="AL7" s="361"/>
      <c r="AM7" s="361"/>
      <c r="AN7" s="361"/>
      <c r="AO7" s="361"/>
      <c r="AP7" s="361"/>
      <c r="AQ7" s="361"/>
      <c r="AR7" s="361"/>
      <c r="AS7" s="361"/>
      <c r="AT7" s="361"/>
      <c r="AU7" s="361"/>
      <c r="AV7" s="361"/>
      <c r="AW7" s="361"/>
      <c r="AX7" s="361"/>
      <c r="AY7" s="361"/>
    </row>
    <row r="8" spans="1:51" s="23" customFormat="1" ht="16.5" customHeight="1">
      <c r="A8" s="361"/>
      <c r="B8" s="869"/>
      <c r="C8" s="869"/>
      <c r="D8" s="869"/>
      <c r="E8" s="869"/>
      <c r="F8" s="869"/>
      <c r="G8" s="869"/>
      <c r="H8" s="871" t="str">
        <f>IF(基本情報入力シート!L18="","",基本情報入力シート!L18)</f>
        <v/>
      </c>
      <c r="I8" s="871"/>
      <c r="J8" s="871"/>
      <c r="K8" s="871"/>
      <c r="L8" s="871"/>
      <c r="M8" s="871"/>
      <c r="N8" s="871"/>
      <c r="O8" s="871"/>
      <c r="P8" s="871"/>
      <c r="Q8" s="871"/>
      <c r="R8" s="871"/>
      <c r="S8" s="871"/>
      <c r="T8" s="871"/>
      <c r="U8" s="871"/>
      <c r="V8" s="871"/>
      <c r="W8" s="871"/>
      <c r="X8" s="871"/>
      <c r="Y8" s="871"/>
      <c r="Z8" s="871"/>
      <c r="AA8" s="871"/>
      <c r="AB8" s="871"/>
      <c r="AC8" s="871"/>
      <c r="AD8" s="871"/>
      <c r="AE8" s="871"/>
      <c r="AF8" s="871"/>
      <c r="AG8" s="871"/>
      <c r="AH8" s="871"/>
      <c r="AI8" s="871"/>
      <c r="AJ8" s="871"/>
      <c r="AK8" s="871"/>
      <c r="AL8" s="361"/>
      <c r="AM8" s="361"/>
      <c r="AN8" s="361"/>
      <c r="AO8" s="361"/>
      <c r="AP8" s="361"/>
      <c r="AQ8" s="361"/>
      <c r="AR8" s="361"/>
      <c r="AS8" s="361"/>
      <c r="AT8" s="361"/>
      <c r="AU8" s="361"/>
      <c r="AV8" s="361"/>
      <c r="AW8" s="361"/>
      <c r="AX8" s="361"/>
      <c r="AY8" s="361" t="b">
        <v>1</v>
      </c>
    </row>
    <row r="9" spans="1:51" s="23" customFormat="1" ht="16.5" customHeight="1">
      <c r="A9" s="361"/>
      <c r="B9" s="869"/>
      <c r="C9" s="869"/>
      <c r="D9" s="869"/>
      <c r="E9" s="869"/>
      <c r="F9" s="869"/>
      <c r="G9" s="869"/>
      <c r="H9" s="872" t="str">
        <f>IF(基本情報入力シート!L19="","",基本情報入力シート!L19)</f>
        <v/>
      </c>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3"/>
      <c r="AL9" s="361"/>
      <c r="AM9" s="361"/>
      <c r="AN9" s="361"/>
      <c r="AO9" s="361"/>
      <c r="AP9" s="361"/>
      <c r="AQ9" s="361"/>
      <c r="AR9" s="361"/>
      <c r="AS9" s="361"/>
      <c r="AT9" s="361"/>
      <c r="AU9" s="361"/>
      <c r="AV9" s="361"/>
      <c r="AW9" s="361"/>
      <c r="AX9" s="361"/>
      <c r="AY9" s="361"/>
    </row>
    <row r="10" spans="1:51" s="23" customFormat="1" ht="13.5" customHeight="1">
      <c r="A10" s="361"/>
      <c r="B10" s="882" t="s">
        <v>10</v>
      </c>
      <c r="C10" s="882"/>
      <c r="D10" s="882"/>
      <c r="E10" s="882"/>
      <c r="F10" s="882"/>
      <c r="G10" s="882"/>
      <c r="H10" s="864" t="str">
        <f>IF(基本情報入力シート!L23="","",基本情報入力シート!L23)</f>
        <v/>
      </c>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5"/>
      <c r="AL10" s="361"/>
      <c r="AM10" s="361"/>
      <c r="AN10" s="361"/>
      <c r="AO10" s="361"/>
      <c r="AP10" s="361"/>
      <c r="AQ10" s="361"/>
      <c r="AR10" s="361"/>
      <c r="AS10" s="361"/>
      <c r="AT10" s="361"/>
      <c r="AU10" s="361"/>
      <c r="AV10" s="361"/>
      <c r="AW10" s="361"/>
      <c r="AX10" s="361"/>
      <c r="AY10" s="361"/>
    </row>
    <row r="11" spans="1:51" s="23" customFormat="1" ht="22.5" customHeight="1">
      <c r="A11" s="361"/>
      <c r="B11" s="883" t="s">
        <v>60</v>
      </c>
      <c r="C11" s="883"/>
      <c r="D11" s="883"/>
      <c r="E11" s="883"/>
      <c r="F11" s="883"/>
      <c r="G11" s="883"/>
      <c r="H11" s="884" t="str">
        <f>IF(基本情報入力シート!L24="","",基本情報入力シート!L24)</f>
        <v/>
      </c>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5"/>
      <c r="AL11" s="361"/>
      <c r="AM11" s="361"/>
      <c r="AN11" s="361"/>
      <c r="AO11" s="361"/>
      <c r="AP11" s="361"/>
      <c r="AQ11" s="361"/>
      <c r="AR11" s="361"/>
      <c r="AS11" s="361"/>
      <c r="AT11" s="361"/>
      <c r="AU11" s="361"/>
      <c r="AV11" s="361"/>
      <c r="AW11" s="361"/>
      <c r="AX11" s="361"/>
      <c r="AY11" s="361"/>
    </row>
    <row r="12" spans="1:51" s="23" customFormat="1" ht="18.75" customHeight="1">
      <c r="A12" s="361"/>
      <c r="B12" s="886" t="s">
        <v>61</v>
      </c>
      <c r="C12" s="886"/>
      <c r="D12" s="886"/>
      <c r="E12" s="886"/>
      <c r="F12" s="886"/>
      <c r="G12" s="886"/>
      <c r="H12" s="886" t="s">
        <v>24</v>
      </c>
      <c r="I12" s="887"/>
      <c r="J12" s="887"/>
      <c r="K12" s="887"/>
      <c r="L12" s="876" t="str">
        <f>IF(基本情報入力シート!L25="","",基本情報入力シート!L25)</f>
        <v/>
      </c>
      <c r="M12" s="876"/>
      <c r="N12" s="876"/>
      <c r="O12" s="876"/>
      <c r="P12" s="876"/>
      <c r="Q12" s="876"/>
      <c r="R12" s="876"/>
      <c r="S12" s="876"/>
      <c r="T12" s="876"/>
      <c r="U12" s="876"/>
      <c r="V12" s="888" t="s">
        <v>25</v>
      </c>
      <c r="W12" s="888"/>
      <c r="X12" s="888"/>
      <c r="Y12" s="888"/>
      <c r="Z12" s="876" t="str">
        <f>IF(基本情報入力シート!L26="","",基本情報入力シート!L26)</f>
        <v/>
      </c>
      <c r="AA12" s="876"/>
      <c r="AB12" s="876"/>
      <c r="AC12" s="876"/>
      <c r="AD12" s="876"/>
      <c r="AE12" s="876"/>
      <c r="AF12" s="876"/>
      <c r="AG12" s="876"/>
      <c r="AH12" s="876"/>
      <c r="AI12" s="876"/>
      <c r="AJ12" s="876"/>
      <c r="AK12" s="877"/>
      <c r="AL12" s="361"/>
      <c r="AM12" s="361"/>
      <c r="AN12" s="361"/>
      <c r="AO12" s="361"/>
      <c r="AP12" s="361"/>
      <c r="AQ12" s="361"/>
      <c r="AR12" s="361"/>
      <c r="AS12" s="361"/>
      <c r="AT12" s="361"/>
      <c r="AU12" s="361"/>
      <c r="AV12" s="361"/>
      <c r="AW12" s="361"/>
      <c r="AX12" s="361"/>
      <c r="AY12" s="361"/>
    </row>
    <row r="13" spans="1:51" ht="7.5" customHeight="1">
      <c r="A13" s="26"/>
      <c r="B13" s="356"/>
      <c r="C13" s="356"/>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26"/>
      <c r="AM13" s="26"/>
      <c r="AN13" s="26"/>
      <c r="AO13" s="26"/>
      <c r="AP13" s="26"/>
      <c r="AQ13" s="26"/>
      <c r="AR13" s="26"/>
      <c r="AS13" s="26"/>
      <c r="AT13" s="26"/>
      <c r="AU13" s="26"/>
      <c r="AV13" s="26"/>
      <c r="AW13" s="26"/>
      <c r="AX13" s="26"/>
      <c r="AY13" s="26"/>
    </row>
    <row r="14" spans="1:51" ht="21.65" customHeight="1">
      <c r="A14" s="26"/>
      <c r="B14" s="365" t="s">
        <v>62</v>
      </c>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26"/>
      <c r="AM14" s="26"/>
      <c r="AN14" s="26"/>
      <c r="AO14" s="26"/>
      <c r="AP14" s="26"/>
      <c r="AQ14" s="26"/>
      <c r="AR14" s="26"/>
      <c r="AS14" s="26"/>
      <c r="AT14" s="26"/>
      <c r="AU14" s="26"/>
      <c r="AV14" s="26"/>
      <c r="AW14" s="26"/>
      <c r="AX14" s="26"/>
      <c r="AY14" s="26"/>
    </row>
    <row r="15" spans="1:51" ht="18.75" customHeight="1">
      <c r="B15" s="879" t="s">
        <v>63</v>
      </c>
      <c r="C15" s="879"/>
      <c r="D15" s="879"/>
      <c r="E15" s="879"/>
      <c r="F15" s="879"/>
      <c r="G15" s="879"/>
      <c r="H15" s="879"/>
      <c r="I15" s="879"/>
      <c r="J15" s="879"/>
      <c r="K15" s="879"/>
      <c r="L15" s="879"/>
      <c r="M15" s="879"/>
      <c r="N15" s="879"/>
      <c r="O15" s="879"/>
      <c r="P15" s="879"/>
      <c r="Q15" s="879"/>
      <c r="R15" s="879"/>
      <c r="S15" s="879"/>
      <c r="T15" s="879"/>
      <c r="U15" s="879"/>
      <c r="V15" s="879"/>
      <c r="W15" s="880"/>
      <c r="X15" s="356"/>
      <c r="Y15" s="356"/>
      <c r="Z15" s="356"/>
      <c r="AA15" s="356"/>
      <c r="AB15" s="356"/>
      <c r="AC15" s="356"/>
      <c r="AD15" s="356"/>
      <c r="AE15" s="356"/>
      <c r="AF15" s="356"/>
      <c r="AG15" s="356"/>
      <c r="AH15" s="356"/>
      <c r="AI15" s="356"/>
      <c r="AJ15" s="356"/>
      <c r="AK15" s="356"/>
      <c r="AL15" s="26"/>
      <c r="AM15" s="26"/>
      <c r="AN15" s="26"/>
      <c r="AO15" s="26"/>
      <c r="AP15" s="26"/>
      <c r="AQ15" s="26"/>
      <c r="AR15" s="26"/>
      <c r="AS15" s="26"/>
      <c r="AT15" s="26"/>
      <c r="AU15" s="26"/>
      <c r="AV15" s="26"/>
      <c r="AW15" s="26"/>
      <c r="AX15" s="26"/>
      <c r="AY15" s="26"/>
    </row>
    <row r="16" spans="1:51" ht="26.25" customHeight="1" thickBot="1">
      <c r="A16" s="26"/>
      <c r="B16" s="367" t="s">
        <v>64</v>
      </c>
      <c r="C16" s="857" t="s">
        <v>65</v>
      </c>
      <c r="D16" s="857"/>
      <c r="E16" s="857"/>
      <c r="F16" s="857"/>
      <c r="G16" s="857"/>
      <c r="H16" s="857"/>
      <c r="I16" s="857"/>
      <c r="J16" s="857"/>
      <c r="K16" s="857"/>
      <c r="L16" s="857"/>
      <c r="M16" s="857"/>
      <c r="N16" s="857"/>
      <c r="O16" s="857"/>
      <c r="P16" s="857"/>
      <c r="Q16" s="881">
        <f>SUM('別紙様式2-2（個票（４、５月））'!L5:M5,'別紙様式2-3（個票（６月以降））'!K6)</f>
        <v>0</v>
      </c>
      <c r="R16" s="881"/>
      <c r="S16" s="881"/>
      <c r="T16" s="881"/>
      <c r="U16" s="881"/>
      <c r="V16" s="881"/>
      <c r="W16" s="368" t="s">
        <v>66</v>
      </c>
      <c r="X16" s="26"/>
      <c r="Y16" s="26"/>
      <c r="Z16" s="356"/>
      <c r="AA16" s="356"/>
      <c r="AB16" s="356"/>
      <c r="AC16" s="356"/>
      <c r="AD16" s="26"/>
      <c r="AE16" s="26"/>
      <c r="AF16" s="26"/>
      <c r="AG16" s="26"/>
      <c r="AH16" s="26"/>
      <c r="AI16" s="26"/>
      <c r="AJ16" s="26"/>
      <c r="AK16" s="26"/>
      <c r="AL16" s="26"/>
      <c r="AM16" s="26"/>
      <c r="AN16" s="26"/>
      <c r="AO16" s="26"/>
      <c r="AP16" s="26"/>
      <c r="AQ16" s="26"/>
      <c r="AR16" s="26"/>
      <c r="AS16" s="26"/>
      <c r="AT16" s="26"/>
      <c r="AU16" s="26"/>
      <c r="AV16" s="26"/>
      <c r="AW16" s="26"/>
      <c r="AX16" s="26"/>
      <c r="AY16" s="26"/>
    </row>
    <row r="17" spans="1:60" ht="38.5" customHeight="1" thickBot="1">
      <c r="A17" s="26"/>
      <c r="B17" s="369" t="s">
        <v>67</v>
      </c>
      <c r="C17" s="874" t="s">
        <v>68</v>
      </c>
      <c r="D17" s="874"/>
      <c r="E17" s="874"/>
      <c r="F17" s="874"/>
      <c r="G17" s="874"/>
      <c r="H17" s="874"/>
      <c r="I17" s="874"/>
      <c r="J17" s="874"/>
      <c r="K17" s="874"/>
      <c r="L17" s="874"/>
      <c r="M17" s="874"/>
      <c r="N17" s="874"/>
      <c r="O17" s="874"/>
      <c r="P17" s="874"/>
      <c r="Q17" s="875"/>
      <c r="R17" s="875"/>
      <c r="S17" s="875"/>
      <c r="T17" s="875"/>
      <c r="U17" s="875"/>
      <c r="V17" s="875"/>
      <c r="W17" s="370" t="s">
        <v>66</v>
      </c>
      <c r="X17" s="356" t="s">
        <v>69</v>
      </c>
      <c r="Y17" s="371" t="str">
        <f>IF(H6="","",IF(Q17&gt;=Q16,"○","×"))</f>
        <v/>
      </c>
      <c r="Z17" s="356"/>
      <c r="AA17" s="372"/>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row>
    <row r="18" spans="1:60" ht="6" customHeight="1">
      <c r="A18" s="356"/>
      <c r="B18" s="26"/>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373"/>
      <c r="AV18" s="374"/>
      <c r="AW18" s="26"/>
      <c r="AX18" s="26"/>
      <c r="AY18" s="26"/>
    </row>
    <row r="19" spans="1:60" ht="16.5" customHeight="1">
      <c r="A19" s="52"/>
      <c r="B19" s="375" t="s">
        <v>70</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row>
    <row r="20" spans="1:60" ht="25.15" customHeight="1">
      <c r="A20" s="26"/>
      <c r="B20" s="376" t="s">
        <v>71</v>
      </c>
      <c r="C20" s="878" t="s">
        <v>72</v>
      </c>
      <c r="D20" s="878"/>
      <c r="E20" s="878"/>
      <c r="F20" s="878"/>
      <c r="G20" s="878"/>
      <c r="H20" s="878"/>
      <c r="I20" s="878"/>
      <c r="J20" s="878"/>
      <c r="K20" s="878"/>
      <c r="L20" s="878"/>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8"/>
      <c r="AL20" s="26"/>
      <c r="AM20" s="26"/>
      <c r="AN20" s="26"/>
      <c r="AO20" s="26"/>
      <c r="AP20" s="26"/>
      <c r="AQ20" s="26"/>
      <c r="AR20" s="26"/>
      <c r="AS20" s="26"/>
      <c r="AT20" s="26"/>
      <c r="AU20" s="26"/>
      <c r="AV20" s="26"/>
      <c r="AW20" s="26"/>
      <c r="AX20" s="26"/>
      <c r="AY20" s="26"/>
    </row>
    <row r="21" spans="1:60" ht="6" customHeight="1">
      <c r="A21" s="26"/>
      <c r="B21" s="377"/>
      <c r="C21" s="377"/>
      <c r="D21" s="377"/>
      <c r="E21" s="377"/>
      <c r="F21" s="378"/>
      <c r="G21" s="379"/>
      <c r="H21" s="379"/>
      <c r="I21" s="379"/>
      <c r="J21" s="379"/>
      <c r="K21" s="379"/>
      <c r="L21" s="379"/>
      <c r="M21" s="380"/>
      <c r="N21" s="380"/>
      <c r="O21" s="380"/>
      <c r="P21" s="380"/>
      <c r="Q21" s="380"/>
      <c r="R21" s="380"/>
      <c r="S21" s="380"/>
      <c r="T21" s="380"/>
      <c r="U21" s="380"/>
      <c r="V21" s="380"/>
      <c r="W21" s="380"/>
      <c r="X21" s="380"/>
      <c r="Y21" s="380"/>
      <c r="Z21" s="380"/>
      <c r="AA21" s="380"/>
      <c r="AB21" s="380"/>
      <c r="AC21" s="380"/>
      <c r="AD21" s="380"/>
      <c r="AE21" s="380"/>
      <c r="AF21" s="380"/>
      <c r="AG21" s="380"/>
      <c r="AH21" s="380"/>
      <c r="AI21" s="380"/>
      <c r="AJ21" s="380"/>
      <c r="AK21" s="380"/>
      <c r="AL21" s="361"/>
      <c r="AM21" s="361"/>
      <c r="AN21" s="26"/>
      <c r="AO21" s="26"/>
      <c r="AP21" s="26"/>
      <c r="AQ21" s="26"/>
      <c r="AR21" s="26"/>
      <c r="AS21" s="26"/>
      <c r="AT21" s="26"/>
      <c r="AU21" s="26"/>
      <c r="AV21" s="26"/>
      <c r="AW21" s="381"/>
      <c r="AX21" s="26"/>
      <c r="AY21" s="26"/>
    </row>
    <row r="22" spans="1:60" ht="21" customHeight="1">
      <c r="A22" s="26"/>
      <c r="B22" s="855" t="s">
        <v>73</v>
      </c>
      <c r="C22" s="855"/>
      <c r="D22" s="855"/>
      <c r="E22" s="855"/>
      <c r="F22" s="855"/>
      <c r="G22" s="855"/>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26"/>
      <c r="AM22" s="26"/>
      <c r="AN22" s="26"/>
      <c r="AO22" s="26"/>
      <c r="AP22" s="26"/>
      <c r="AQ22" s="26"/>
      <c r="AR22" s="26"/>
      <c r="AS22" s="26"/>
      <c r="AT22" s="26"/>
      <c r="AU22" s="26"/>
      <c r="AV22" s="26"/>
      <c r="AW22" s="26"/>
      <c r="AX22" s="26"/>
      <c r="AY22" s="26"/>
    </row>
    <row r="23" spans="1:60" ht="19.149999999999999" customHeight="1" thickBot="1">
      <c r="A23" s="26"/>
      <c r="B23" s="856" t="s">
        <v>74</v>
      </c>
      <c r="C23" s="856"/>
      <c r="D23" s="856"/>
      <c r="E23" s="856"/>
      <c r="F23" s="856"/>
      <c r="G23" s="856"/>
      <c r="H23" s="856"/>
      <c r="I23" s="856"/>
      <c r="J23" s="856"/>
      <c r="K23" s="856"/>
      <c r="L23" s="856"/>
      <c r="M23" s="856"/>
      <c r="N23" s="856"/>
      <c r="O23" s="856"/>
      <c r="P23" s="856"/>
      <c r="Q23" s="856"/>
      <c r="R23" s="856"/>
      <c r="S23" s="856"/>
      <c r="T23" s="856"/>
      <c r="U23" s="856"/>
      <c r="V23" s="856"/>
      <c r="W23" s="856"/>
      <c r="X23" s="856"/>
      <c r="Y23" s="856"/>
      <c r="Z23" s="856"/>
      <c r="AA23" s="856"/>
      <c r="AB23" s="856"/>
      <c r="AC23" s="856"/>
      <c r="AD23" s="856"/>
      <c r="AE23" s="856"/>
      <c r="AF23" s="856"/>
      <c r="AG23" s="856"/>
      <c r="AH23" s="856"/>
      <c r="AI23" s="856"/>
      <c r="AJ23" s="856"/>
      <c r="AK23" s="856"/>
      <c r="AL23" s="26"/>
      <c r="AM23" s="26"/>
      <c r="AN23" s="26"/>
      <c r="AO23" s="26"/>
      <c r="AP23" s="26"/>
      <c r="AQ23" s="26"/>
      <c r="AR23" s="26"/>
      <c r="AS23" s="381"/>
      <c r="AT23" s="26"/>
      <c r="AU23" s="26"/>
      <c r="AV23" s="26"/>
      <c r="AW23" s="26"/>
      <c r="AX23" s="26"/>
      <c r="AY23" s="26"/>
    </row>
    <row r="24" spans="1:60" ht="18" customHeight="1" thickBot="1">
      <c r="A24" s="26"/>
      <c r="B24" s="846" t="s">
        <v>75</v>
      </c>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382"/>
      <c r="AB24" s="382"/>
      <c r="AC24" s="382"/>
      <c r="AD24" s="382"/>
      <c r="AE24" s="382"/>
      <c r="AF24" s="382"/>
      <c r="AG24" s="382"/>
      <c r="AH24" s="382"/>
      <c r="AI24" s="382"/>
      <c r="AJ24" s="383"/>
      <c r="AK24" s="384" t="str" cm="1">
        <f t="array" ref="AK24">IF(H6="", "", IF(AND('別紙様式2-2（個票（４、５月））'!AC9:AC9="○",'別紙様式2-3（個票（６月以降））'!AC9:AC9="○"), "○", "×"))</f>
        <v/>
      </c>
      <c r="AL24" s="381"/>
      <c r="AM24" s="26"/>
      <c r="AN24" s="26"/>
      <c r="AO24" s="26"/>
      <c r="AP24" s="26"/>
      <c r="AQ24" s="26"/>
      <c r="AR24" s="381"/>
      <c r="AS24" s="26"/>
      <c r="AT24" s="26"/>
      <c r="AU24" s="26"/>
      <c r="AV24" s="26"/>
      <c r="AW24" s="26"/>
      <c r="AX24" s="26"/>
    </row>
    <row r="25" spans="1:60" ht="18" customHeight="1" thickBot="1">
      <c r="A25" s="26"/>
      <c r="B25" s="385" t="s">
        <v>64</v>
      </c>
      <c r="C25" s="857" t="s">
        <v>76</v>
      </c>
      <c r="D25" s="857"/>
      <c r="E25" s="857"/>
      <c r="F25" s="857"/>
      <c r="G25" s="857"/>
      <c r="H25" s="857"/>
      <c r="I25" s="857"/>
      <c r="J25" s="857"/>
      <c r="K25" s="857"/>
      <c r="L25" s="857"/>
      <c r="M25" s="857"/>
      <c r="N25" s="857"/>
      <c r="O25" s="857"/>
      <c r="P25" s="857"/>
      <c r="Q25" s="857"/>
      <c r="R25" s="857"/>
      <c r="S25" s="857"/>
      <c r="T25" s="858">
        <f>SUM('別紙様式2-2（個票（４、５月））'!L6:L6,'別紙様式2-3（個票（６月以降））'!K7)</f>
        <v>0</v>
      </c>
      <c r="U25" s="858"/>
      <c r="V25" s="858"/>
      <c r="W25" s="858"/>
      <c r="X25" s="858"/>
      <c r="Y25" s="858"/>
      <c r="Z25" s="386" t="s">
        <v>66</v>
      </c>
      <c r="AA25" s="387" t="s">
        <v>69</v>
      </c>
      <c r="AB25" s="859" t="str">
        <f>IF(H6="", "", IFERROR(IF(T26&gt;=T25,"○","×"),""))</f>
        <v/>
      </c>
      <c r="AC25" s="388"/>
      <c r="AD25" s="389"/>
      <c r="AE25" s="389"/>
      <c r="AF25" s="389"/>
      <c r="AG25" s="389"/>
      <c r="AH25" s="389"/>
      <c r="AI25" s="389"/>
      <c r="AJ25" s="389"/>
      <c r="AK25" s="389"/>
      <c r="AL25" s="26"/>
      <c r="AM25" s="791" t="s">
        <v>77</v>
      </c>
      <c r="AN25" s="792"/>
      <c r="AO25" s="792"/>
      <c r="AP25" s="792"/>
      <c r="AQ25" s="792"/>
      <c r="AR25" s="792"/>
      <c r="AS25" s="792"/>
      <c r="AT25" s="792"/>
      <c r="AU25" s="792"/>
      <c r="AV25" s="792"/>
      <c r="AW25" s="792"/>
      <c r="AX25" s="792"/>
      <c r="AY25" s="793"/>
    </row>
    <row r="26" spans="1:60" ht="28.5" customHeight="1" thickBot="1">
      <c r="A26" s="26"/>
      <c r="B26" s="385" t="s">
        <v>67</v>
      </c>
      <c r="C26" s="752" t="s">
        <v>78</v>
      </c>
      <c r="D26" s="752"/>
      <c r="E26" s="752"/>
      <c r="F26" s="752"/>
      <c r="G26" s="752"/>
      <c r="H26" s="752"/>
      <c r="I26" s="752"/>
      <c r="J26" s="752"/>
      <c r="K26" s="752"/>
      <c r="L26" s="752"/>
      <c r="M26" s="752"/>
      <c r="N26" s="752"/>
      <c r="O26" s="752"/>
      <c r="P26" s="752"/>
      <c r="Q26" s="752"/>
      <c r="R26" s="752"/>
      <c r="S26" s="752"/>
      <c r="T26" s="847"/>
      <c r="U26" s="847"/>
      <c r="V26" s="847"/>
      <c r="W26" s="847"/>
      <c r="X26" s="847"/>
      <c r="Y26" s="848"/>
      <c r="Z26" s="390" t="s">
        <v>66</v>
      </c>
      <c r="AA26" s="387" t="s">
        <v>69</v>
      </c>
      <c r="AB26" s="860"/>
      <c r="AC26" s="388"/>
      <c r="AD26" s="389"/>
      <c r="AE26" s="389"/>
      <c r="AF26" s="389"/>
      <c r="AG26" s="389"/>
      <c r="AH26" s="389"/>
      <c r="AI26" s="389"/>
      <c r="AJ26" s="389"/>
      <c r="AK26" s="389"/>
      <c r="AL26" s="26"/>
      <c r="AM26" s="794"/>
      <c r="AN26" s="795"/>
      <c r="AO26" s="795"/>
      <c r="AP26" s="795"/>
      <c r="AQ26" s="795"/>
      <c r="AR26" s="795"/>
      <c r="AS26" s="795"/>
      <c r="AT26" s="795"/>
      <c r="AU26" s="795"/>
      <c r="AV26" s="795"/>
      <c r="AW26" s="795"/>
      <c r="AX26" s="795"/>
      <c r="AY26" s="796"/>
    </row>
    <row r="27" spans="1:60" ht="3.75" customHeight="1">
      <c r="A27" s="26"/>
      <c r="B27" s="375"/>
      <c r="C27" s="391"/>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2"/>
      <c r="AI27" s="392"/>
      <c r="AJ27" s="392"/>
      <c r="AK27" s="392"/>
      <c r="AL27" s="392"/>
      <c r="AM27" s="393"/>
      <c r="AN27" s="393"/>
      <c r="AO27" s="393"/>
      <c r="AP27" s="393"/>
      <c r="AQ27" s="26"/>
      <c r="AR27" s="26"/>
      <c r="AS27" s="26"/>
      <c r="AT27" s="26"/>
      <c r="AU27" s="26"/>
      <c r="AV27" s="26"/>
      <c r="AW27" s="26"/>
      <c r="AX27" s="381"/>
      <c r="AY27" s="26"/>
    </row>
    <row r="28" spans="1:60">
      <c r="A28" s="26"/>
      <c r="B28" s="375" t="s">
        <v>70</v>
      </c>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94"/>
      <c r="AM28" s="393"/>
      <c r="AN28" s="393"/>
      <c r="AO28" s="393"/>
      <c r="AP28" s="393"/>
      <c r="AQ28" s="26"/>
      <c r="AR28" s="26"/>
      <c r="AS28" s="26"/>
      <c r="AT28" s="26"/>
      <c r="AU28" s="26"/>
      <c r="AV28" s="26"/>
      <c r="AW28" s="26"/>
      <c r="AX28" s="381"/>
      <c r="AY28" s="26"/>
    </row>
    <row r="29" spans="1:60" ht="13.9" customHeight="1">
      <c r="A29" s="26"/>
      <c r="B29" s="376" t="s">
        <v>71</v>
      </c>
      <c r="C29" s="854" t="s">
        <v>79</v>
      </c>
      <c r="D29" s="854"/>
      <c r="E29" s="854"/>
      <c r="F29" s="854"/>
      <c r="G29" s="854"/>
      <c r="H29" s="854"/>
      <c r="I29" s="854"/>
      <c r="J29" s="854"/>
      <c r="K29" s="854"/>
      <c r="L29" s="854"/>
      <c r="M29" s="854"/>
      <c r="N29" s="854"/>
      <c r="O29" s="854"/>
      <c r="P29" s="854"/>
      <c r="Q29" s="854"/>
      <c r="R29" s="854"/>
      <c r="S29" s="854"/>
      <c r="T29" s="854"/>
      <c r="U29" s="854"/>
      <c r="V29" s="854"/>
      <c r="W29" s="854"/>
      <c r="X29" s="854"/>
      <c r="Y29" s="854"/>
      <c r="Z29" s="854"/>
      <c r="AA29" s="854"/>
      <c r="AB29" s="854"/>
      <c r="AC29" s="854"/>
      <c r="AD29" s="854"/>
      <c r="AE29" s="854"/>
      <c r="AF29" s="854"/>
      <c r="AG29" s="854"/>
      <c r="AH29" s="854"/>
      <c r="AI29" s="854"/>
      <c r="AJ29" s="854"/>
      <c r="AK29" s="854"/>
      <c r="AL29" s="394"/>
      <c r="AM29" s="393"/>
      <c r="AN29" s="393"/>
      <c r="AO29" s="393"/>
      <c r="AP29" s="393"/>
      <c r="AQ29" s="26"/>
      <c r="AR29" s="26"/>
      <c r="AS29" s="26"/>
      <c r="AT29" s="26"/>
      <c r="AU29" s="26"/>
      <c r="AV29" s="26"/>
      <c r="AW29" s="26"/>
      <c r="AX29" s="381"/>
      <c r="AY29" s="26"/>
    </row>
    <row r="30" spans="1:60" ht="12.65" customHeight="1">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378"/>
      <c r="AK30" s="378"/>
      <c r="AL30" s="378"/>
      <c r="AM30" s="26"/>
      <c r="AN30" s="26"/>
      <c r="AO30" s="26"/>
      <c r="AP30" s="26"/>
      <c r="AQ30" s="26"/>
      <c r="AR30" s="26"/>
      <c r="AS30" s="26"/>
      <c r="AT30" s="26"/>
      <c r="AU30" s="26"/>
      <c r="AV30" s="26"/>
      <c r="AW30" s="26"/>
      <c r="AX30" s="26"/>
      <c r="AY30" s="26"/>
      <c r="BA30" s="32" t="s">
        <v>2480</v>
      </c>
      <c r="BB30" s="32"/>
      <c r="BC30" s="32"/>
      <c r="BD30" s="32"/>
      <c r="BE30" s="32" t="s">
        <v>2481</v>
      </c>
      <c r="BF30" s="32"/>
      <c r="BG30" s="32"/>
      <c r="BH30" s="32"/>
    </row>
    <row r="31" spans="1:60" s="27" customFormat="1" ht="23.5" customHeight="1" thickBot="1">
      <c r="A31" s="55"/>
      <c r="B31" s="703" t="s">
        <v>80</v>
      </c>
      <c r="C31" s="703"/>
      <c r="D31" s="703"/>
      <c r="E31" s="703"/>
      <c r="F31" s="703"/>
      <c r="G31" s="703"/>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55"/>
      <c r="AM31" s="395"/>
      <c r="AN31" s="395"/>
      <c r="AO31" s="395"/>
      <c r="AP31" s="395"/>
      <c r="AQ31" s="395"/>
      <c r="AR31" s="395"/>
      <c r="AS31" s="395"/>
      <c r="AT31" s="395"/>
      <c r="AU31" s="395"/>
      <c r="AV31" s="395"/>
      <c r="AW31" s="395"/>
      <c r="AX31" s="395"/>
      <c r="AY31" s="395"/>
      <c r="BA31" s="853" t="s">
        <v>81</v>
      </c>
      <c r="BB31" s="853"/>
      <c r="BC31" s="853"/>
      <c r="BD31" s="853"/>
      <c r="BE31" s="853" t="s">
        <v>2487</v>
      </c>
      <c r="BF31" s="853"/>
      <c r="BG31" s="853"/>
      <c r="BH31" s="853"/>
    </row>
    <row r="32" spans="1:60" s="23" customFormat="1" ht="18" customHeight="1" thickBot="1">
      <c r="A32" s="361"/>
      <c r="B32" s="846" t="s">
        <v>2482</v>
      </c>
      <c r="C32" s="846"/>
      <c r="D32" s="846"/>
      <c r="E32" s="846"/>
      <c r="F32" s="846"/>
      <c r="G32" s="846"/>
      <c r="H32" s="846"/>
      <c r="I32" s="846"/>
      <c r="J32" s="846"/>
      <c r="K32" s="846"/>
      <c r="L32" s="846"/>
      <c r="M32" s="846"/>
      <c r="N32" s="846"/>
      <c r="O32" s="846"/>
      <c r="P32" s="846"/>
      <c r="Q32" s="846"/>
      <c r="R32" s="846"/>
      <c r="S32" s="846"/>
      <c r="T32" s="846"/>
      <c r="U32" s="846"/>
      <c r="V32" s="846"/>
      <c r="W32" s="846"/>
      <c r="X32" s="846"/>
      <c r="Y32" s="846"/>
      <c r="Z32" s="846"/>
      <c r="AA32" s="846"/>
      <c r="AB32" s="846"/>
      <c r="AC32" s="846"/>
      <c r="AD32" s="846"/>
      <c r="AE32" s="846"/>
      <c r="AF32" s="846"/>
      <c r="AG32" s="846"/>
      <c r="AH32" s="846"/>
      <c r="AI32" s="846"/>
      <c r="AJ32" s="846"/>
      <c r="AK32" s="384" t="str">
        <f>IF(H6="","",IF(AND('別紙様式2-2（個票（４、５月））'!AE9="○",'別紙様式2-3（個票（６月以降））'!AE9="○",COUNTIF('別紙様式2-2（個票（４、５月））'!AE12:AE1048576,"*令和８年度特例要件を*")+COUNTIF('別紙様式2-3（個票（６月以降））'!AE12:AE1048576,"*令和８年度特例要件を*")=0),"○","×"))</f>
        <v/>
      </c>
      <c r="AL32" s="361"/>
      <c r="AM32" s="395"/>
      <c r="AN32" s="395"/>
      <c r="AO32" s="395"/>
      <c r="AP32" s="395"/>
      <c r="AQ32" s="395"/>
      <c r="AR32" s="395"/>
      <c r="AS32" s="395"/>
      <c r="AT32" s="395"/>
      <c r="AU32" s="395"/>
      <c r="AV32" s="395"/>
      <c r="AW32" s="395"/>
      <c r="AX32" s="395"/>
      <c r="AY32" s="395"/>
      <c r="BA32" s="852">
        <f>COUNTIF('別紙様式2-2（個票（４、５月））'!N:N,"処遇改善加算Ⅰ")+COUNTIF('別紙様式2-2（個票（４、５月））'!N:N,"処遇改善加算Ⅱ")+COUNTIF('別紙様式2-2（個票（４、５月））'!N:N,"処遇改善加算Ⅲ")+COUNTIF('別紙様式2-2（個票（４、５月））'!N:N,"処遇改善加算Ⅳ")</f>
        <v>0</v>
      </c>
      <c r="BB32" s="852"/>
      <c r="BC32" s="852"/>
      <c r="BD32" s="852"/>
      <c r="BE32" s="88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89"/>
      <c r="BG32" s="889"/>
      <c r="BH32" s="889"/>
    </row>
    <row r="33" spans="1:60" s="23" customFormat="1" ht="33" customHeight="1" thickBot="1">
      <c r="A33" s="361"/>
      <c r="B33" s="845" t="s">
        <v>82</v>
      </c>
      <c r="C33" s="846"/>
      <c r="D33" s="846"/>
      <c r="E33" s="846"/>
      <c r="F33" s="846"/>
      <c r="G33" s="846"/>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520"/>
      <c r="AL33" s="361"/>
      <c r="AM33" s="395"/>
      <c r="AN33" s="395"/>
      <c r="AO33" s="395"/>
      <c r="AP33" s="395"/>
      <c r="AQ33" s="395"/>
      <c r="AR33" s="395"/>
      <c r="AS33" s="395"/>
      <c r="AT33" s="395"/>
      <c r="AU33" s="395"/>
      <c r="AV33" s="395"/>
      <c r="AW33" s="395"/>
      <c r="AX33" s="395"/>
      <c r="AY33" s="395"/>
      <c r="BA33" s="396"/>
      <c r="BB33" s="396"/>
      <c r="BC33" s="396"/>
      <c r="BD33" s="396"/>
      <c r="BE33" s="397"/>
      <c r="BF33" s="397"/>
      <c r="BG33" s="397"/>
      <c r="BH33" s="397"/>
    </row>
    <row r="34" spans="1:60" s="23" customFormat="1" ht="6" customHeight="1">
      <c r="A34" s="361"/>
      <c r="B34" s="779"/>
      <c r="C34" s="779"/>
      <c r="D34" s="779"/>
      <c r="E34" s="779"/>
      <c r="F34" s="779"/>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361"/>
      <c r="AM34" s="398"/>
      <c r="AN34" s="398"/>
      <c r="AO34" s="398"/>
      <c r="AP34" s="398"/>
      <c r="AQ34" s="398"/>
      <c r="AR34" s="398"/>
      <c r="AS34" s="398"/>
      <c r="AT34" s="398"/>
      <c r="AU34" s="398"/>
      <c r="AV34" s="398"/>
      <c r="AW34" s="398"/>
      <c r="AX34" s="398"/>
      <c r="AY34" s="398"/>
      <c r="BA34" s="32" t="s">
        <v>2480</v>
      </c>
      <c r="BB34" s="32"/>
      <c r="BC34" s="32"/>
      <c r="BD34" s="32"/>
      <c r="BE34" s="32" t="s">
        <v>2481</v>
      </c>
      <c r="BF34" s="32"/>
      <c r="BG34" s="32"/>
      <c r="BH34" s="32"/>
    </row>
    <row r="35" spans="1:60" s="23" customFormat="1" ht="19.899999999999999" customHeight="1" thickBot="1">
      <c r="A35" s="361"/>
      <c r="B35" s="703" t="s">
        <v>83</v>
      </c>
      <c r="C35" s="861"/>
      <c r="D35" s="861"/>
      <c r="E35" s="861"/>
      <c r="F35" s="861"/>
      <c r="G35" s="861"/>
      <c r="H35" s="861"/>
      <c r="I35" s="861"/>
      <c r="J35" s="861"/>
      <c r="K35" s="861"/>
      <c r="L35" s="861"/>
      <c r="M35" s="861"/>
      <c r="N35" s="861"/>
      <c r="O35" s="861"/>
      <c r="P35" s="861"/>
      <c r="Q35" s="861"/>
      <c r="R35" s="861"/>
      <c r="S35" s="861"/>
      <c r="T35" s="861"/>
      <c r="U35" s="861"/>
      <c r="V35" s="861"/>
      <c r="W35" s="861"/>
      <c r="X35" s="861"/>
      <c r="Y35" s="861"/>
      <c r="Z35" s="861"/>
      <c r="AA35" s="861"/>
      <c r="AB35" s="861"/>
      <c r="AC35" s="861"/>
      <c r="AD35" s="861"/>
      <c r="AE35" s="861"/>
      <c r="AF35" s="861"/>
      <c r="AG35" s="861"/>
      <c r="AH35" s="861"/>
      <c r="AI35" s="861"/>
      <c r="AJ35" s="861"/>
      <c r="AK35" s="861"/>
      <c r="AL35" s="361"/>
      <c r="AM35" s="395"/>
      <c r="AN35" s="395"/>
      <c r="AO35" s="395"/>
      <c r="AP35" s="395"/>
      <c r="AQ35" s="395"/>
      <c r="AR35" s="395"/>
      <c r="AS35" s="395"/>
      <c r="AT35" s="395"/>
      <c r="AU35" s="395"/>
      <c r="AV35" s="395"/>
      <c r="AW35" s="395"/>
      <c r="AX35" s="395"/>
      <c r="AY35" s="395"/>
      <c r="BA35" s="851" t="s">
        <v>84</v>
      </c>
      <c r="BB35" s="851"/>
      <c r="BC35" s="851"/>
      <c r="BD35" s="851"/>
      <c r="BE35" s="851" t="s">
        <v>84</v>
      </c>
      <c r="BF35" s="851"/>
      <c r="BG35" s="851"/>
      <c r="BH35" s="851"/>
    </row>
    <row r="36" spans="1:60" s="23" customFormat="1" ht="18" customHeight="1" thickBot="1">
      <c r="A36" s="361"/>
      <c r="B36" s="845" t="s">
        <v>2486</v>
      </c>
      <c r="C36" s="845"/>
      <c r="D36" s="845"/>
      <c r="E36" s="845"/>
      <c r="F36" s="845"/>
      <c r="G36" s="845"/>
      <c r="H36" s="845"/>
      <c r="I36" s="845"/>
      <c r="J36" s="845"/>
      <c r="K36" s="845"/>
      <c r="L36" s="845"/>
      <c r="M36" s="845"/>
      <c r="N36" s="845"/>
      <c r="O36" s="845"/>
      <c r="P36" s="845"/>
      <c r="Q36" s="845"/>
      <c r="R36" s="845"/>
      <c r="S36" s="845"/>
      <c r="T36" s="845"/>
      <c r="U36" s="845"/>
      <c r="V36" s="845"/>
      <c r="W36" s="845"/>
      <c r="X36" s="845"/>
      <c r="Y36" s="845"/>
      <c r="Z36" s="845"/>
      <c r="AA36" s="845"/>
      <c r="AB36" s="845"/>
      <c r="AC36" s="845"/>
      <c r="AD36" s="845"/>
      <c r="AE36" s="845"/>
      <c r="AF36" s="845"/>
      <c r="AG36" s="845"/>
      <c r="AH36" s="845"/>
      <c r="AI36" s="845"/>
      <c r="AJ36" s="845"/>
      <c r="AK36" s="384" t="str">
        <f>IF(H6="","",IF(AND('別紙様式2-2（個票（４、５月））'!AF9="○",'別紙様式2-3（個票（６月以降））'!AF9="○",COUNTIF('別紙様式2-2（個票（４、５月））'!AF12:AF1048576,"*令和８年度特例要件を*")+COUNTIF('別紙様式2-3（個票（６月以降））'!AF12:AF1048576,"*令和８年度特例要件を*")=0),"○","×"))</f>
        <v/>
      </c>
      <c r="AL36" s="361"/>
      <c r="AM36" s="395"/>
      <c r="AN36" s="395"/>
      <c r="AO36" s="395"/>
      <c r="AP36" s="395"/>
      <c r="AQ36" s="395"/>
      <c r="AR36" s="395"/>
      <c r="AS36" s="395"/>
      <c r="AT36" s="395"/>
      <c r="AU36" s="395"/>
      <c r="AV36" s="395"/>
      <c r="AW36" s="395"/>
      <c r="AX36" s="395"/>
      <c r="AY36" s="395"/>
      <c r="BA36" s="852">
        <f>COUNTIF('別紙様式2-2（個票（４、５月））'!N12:N111,"処遇改善加算Ⅰ")+COUNTIF('別紙様式2-2（個票（４、５月））'!N12:N111,"処遇改善加算Ⅱ")+COUNTIF('別紙様式2-2（個票（４、５月））'!N12:N111,"処遇改善加算Ⅲ")</f>
        <v>0</v>
      </c>
      <c r="BB36" s="852"/>
      <c r="BC36" s="852"/>
      <c r="BD36" s="852"/>
      <c r="BE36" s="889">
        <f>COUNTIF('別紙様式2-3（個票（６月以降））'!N:N,"*処遇改善加算Ⅰ*")+COUNTIF('別紙様式2-3（個票（６月以降））'!N:N,"*処遇改善加算Ⅱ*")+COUNTIF('別紙様式2-3（個票（６月以降））'!N:N,"処遇改善加算Ⅲ")</f>
        <v>0</v>
      </c>
      <c r="BF36" s="889"/>
      <c r="BG36" s="889"/>
      <c r="BH36" s="889"/>
    </row>
    <row r="37" spans="1:60" s="23" customFormat="1" ht="30.65" customHeight="1" thickBot="1">
      <c r="A37" s="361"/>
      <c r="B37" s="845" t="s">
        <v>85</v>
      </c>
      <c r="C37" s="846"/>
      <c r="D37" s="846"/>
      <c r="E37" s="846"/>
      <c r="F37" s="846"/>
      <c r="G37" s="846"/>
      <c r="H37" s="846"/>
      <c r="I37" s="846"/>
      <c r="J37" s="846"/>
      <c r="K37" s="846"/>
      <c r="L37" s="846"/>
      <c r="M37" s="846"/>
      <c r="N37" s="846"/>
      <c r="O37" s="846"/>
      <c r="P37" s="846"/>
      <c r="Q37" s="846"/>
      <c r="R37" s="846"/>
      <c r="S37" s="846"/>
      <c r="T37" s="846"/>
      <c r="U37" s="846"/>
      <c r="V37" s="846"/>
      <c r="W37" s="846"/>
      <c r="X37" s="846"/>
      <c r="Y37" s="846"/>
      <c r="Z37" s="846"/>
      <c r="AA37" s="846"/>
      <c r="AB37" s="846"/>
      <c r="AC37" s="846"/>
      <c r="AD37" s="846"/>
      <c r="AE37" s="846"/>
      <c r="AF37" s="846"/>
      <c r="AG37" s="846"/>
      <c r="AH37" s="846"/>
      <c r="AI37" s="846"/>
      <c r="AJ37" s="846"/>
      <c r="AK37" s="520"/>
      <c r="AL37" s="361"/>
      <c r="AM37" s="395"/>
      <c r="AN37" s="395"/>
      <c r="AO37" s="395"/>
      <c r="AP37" s="395"/>
      <c r="AQ37" s="395"/>
      <c r="AR37" s="395"/>
      <c r="AS37" s="395"/>
      <c r="AT37" s="395"/>
      <c r="AU37" s="395"/>
      <c r="AV37" s="395"/>
      <c r="AW37" s="395"/>
      <c r="AX37" s="395"/>
      <c r="AY37" s="395"/>
      <c r="BA37" s="396"/>
      <c r="BB37" s="396"/>
      <c r="BC37" s="396"/>
      <c r="BD37" s="396"/>
      <c r="BE37" s="397"/>
      <c r="BF37" s="397"/>
      <c r="BG37" s="397"/>
      <c r="BH37" s="397"/>
    </row>
    <row r="38" spans="1:60" s="23" customFormat="1" ht="6" customHeight="1">
      <c r="A38" s="361"/>
      <c r="B38" s="394"/>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94"/>
      <c r="AH38" s="394"/>
      <c r="AI38" s="394"/>
      <c r="AJ38" s="394"/>
      <c r="AK38" s="394"/>
      <c r="AL38" s="361"/>
      <c r="AM38" s="399"/>
      <c r="AN38" s="361"/>
      <c r="AO38" s="361"/>
      <c r="AP38" s="361"/>
      <c r="AQ38" s="361"/>
      <c r="AR38" s="361"/>
      <c r="AS38" s="361"/>
      <c r="AT38" s="361"/>
      <c r="AU38" s="361"/>
      <c r="AV38" s="361"/>
      <c r="AW38" s="361"/>
      <c r="AX38" s="361"/>
      <c r="AY38" s="361"/>
      <c r="BA38" s="32" t="s">
        <v>2480</v>
      </c>
      <c r="BB38" s="32"/>
      <c r="BC38" s="32"/>
      <c r="BD38" s="32"/>
      <c r="BE38" s="32" t="s">
        <v>2481</v>
      </c>
      <c r="BF38" s="32"/>
      <c r="BG38" s="32"/>
      <c r="BH38" s="32"/>
    </row>
    <row r="39" spans="1:60" s="23" customFormat="1" ht="23.5" customHeight="1" thickBot="1">
      <c r="A39" s="361"/>
      <c r="B39" s="895" t="s">
        <v>86</v>
      </c>
      <c r="C39" s="896"/>
      <c r="D39" s="896"/>
      <c r="E39" s="896"/>
      <c r="F39" s="896"/>
      <c r="G39" s="896"/>
      <c r="H39" s="896"/>
      <c r="I39" s="896"/>
      <c r="J39" s="896"/>
      <c r="K39" s="896"/>
      <c r="L39" s="896"/>
      <c r="M39" s="896"/>
      <c r="N39" s="896"/>
      <c r="O39" s="896"/>
      <c r="P39" s="896"/>
      <c r="Q39" s="896"/>
      <c r="R39" s="896"/>
      <c r="S39" s="896"/>
      <c r="T39" s="896"/>
      <c r="U39" s="896"/>
      <c r="V39" s="896"/>
      <c r="W39" s="896"/>
      <c r="X39" s="896"/>
      <c r="Y39" s="896"/>
      <c r="Z39" s="896"/>
      <c r="AA39" s="896"/>
      <c r="AB39" s="896"/>
      <c r="AC39" s="896"/>
      <c r="AD39" s="896"/>
      <c r="AE39" s="896"/>
      <c r="AF39" s="896"/>
      <c r="AG39" s="896"/>
      <c r="AH39" s="896"/>
      <c r="AI39" s="896"/>
      <c r="AJ39" s="896"/>
      <c r="AK39" s="896"/>
      <c r="AL39" s="361"/>
      <c r="AM39" s="361"/>
      <c r="AN39" s="361"/>
      <c r="AO39" s="361"/>
      <c r="AP39" s="361"/>
      <c r="AQ39" s="361"/>
      <c r="AR39" s="361"/>
      <c r="AS39" s="361"/>
      <c r="AT39" s="361"/>
      <c r="AU39" s="361"/>
      <c r="AV39" s="361"/>
      <c r="AW39" s="361"/>
      <c r="AX39" s="361"/>
      <c r="AY39" s="361"/>
      <c r="BA39" s="852" t="s">
        <v>87</v>
      </c>
      <c r="BB39" s="852"/>
      <c r="BC39" s="852"/>
      <c r="BD39" s="852"/>
      <c r="BE39" s="852" t="s">
        <v>87</v>
      </c>
      <c r="BF39" s="852"/>
      <c r="BG39" s="852"/>
      <c r="BH39" s="852"/>
    </row>
    <row r="40" spans="1:60" ht="18" customHeight="1" thickBot="1">
      <c r="A40" s="26"/>
      <c r="B40" s="898" t="s">
        <v>2483</v>
      </c>
      <c r="C40" s="898"/>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c r="AD40" s="898"/>
      <c r="AE40" s="898"/>
      <c r="AF40" s="898"/>
      <c r="AG40" s="898"/>
      <c r="AH40" s="898"/>
      <c r="AI40" s="898"/>
      <c r="AJ40" s="898"/>
      <c r="AK40" s="38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26"/>
      <c r="AM40" s="26"/>
      <c r="AN40" s="26"/>
      <c r="AO40" s="26"/>
      <c r="AP40" s="26"/>
      <c r="AQ40" s="26"/>
      <c r="AR40" s="26"/>
      <c r="AS40" s="26"/>
      <c r="AT40" s="26"/>
      <c r="AU40" s="26"/>
      <c r="AV40" s="26"/>
      <c r="AW40" s="26"/>
      <c r="AX40" s="381"/>
      <c r="AY40" s="26"/>
      <c r="BA40" s="853">
        <f>COUNTIF('別紙様式2-2（個票（４、５月））'!N12:N111,"処遇改善加算Ⅰ")+COUNTIF('別紙様式2-2（個票（４、５月））'!N12:N111,"処遇改善加算Ⅱ")</f>
        <v>0</v>
      </c>
      <c r="BB40" s="853"/>
      <c r="BC40" s="853"/>
      <c r="BD40" s="853"/>
      <c r="BE40" s="890">
        <f>COUNTIF('別紙様式2-3（個票（６月以降））'!N:N,"*処遇改善加算Ⅰ*")+COUNTIF('別紙様式2-3（個票（６月以降））'!N:N,"*処遇改善加算Ⅱ*")</f>
        <v>0</v>
      </c>
      <c r="BF40" s="890"/>
      <c r="BG40" s="890"/>
      <c r="BH40" s="890"/>
    </row>
    <row r="41" spans="1:60" ht="30.65" customHeight="1" thickBot="1">
      <c r="A41" s="26"/>
      <c r="B41" s="845" t="s">
        <v>88</v>
      </c>
      <c r="C41" s="846"/>
      <c r="D41" s="846"/>
      <c r="E41" s="846"/>
      <c r="F41" s="846"/>
      <c r="G41" s="846"/>
      <c r="H41" s="846"/>
      <c r="I41" s="846"/>
      <c r="J41" s="846"/>
      <c r="K41" s="846"/>
      <c r="L41" s="846"/>
      <c r="M41" s="846"/>
      <c r="N41" s="846"/>
      <c r="O41" s="846"/>
      <c r="P41" s="846"/>
      <c r="Q41" s="846"/>
      <c r="R41" s="846"/>
      <c r="S41" s="846"/>
      <c r="T41" s="846"/>
      <c r="U41" s="846"/>
      <c r="V41" s="846"/>
      <c r="W41" s="846"/>
      <c r="X41" s="846"/>
      <c r="Y41" s="846"/>
      <c r="Z41" s="846"/>
      <c r="AA41" s="846"/>
      <c r="AB41" s="846"/>
      <c r="AC41" s="846"/>
      <c r="AD41" s="846"/>
      <c r="AE41" s="846"/>
      <c r="AF41" s="846"/>
      <c r="AG41" s="846"/>
      <c r="AH41" s="846"/>
      <c r="AI41" s="846"/>
      <c r="AJ41" s="846"/>
      <c r="AK41" s="520"/>
      <c r="AL41" s="26"/>
      <c r="AM41" s="26"/>
      <c r="AN41" s="26"/>
      <c r="AO41" s="26"/>
      <c r="AP41" s="26"/>
      <c r="AQ41" s="26"/>
      <c r="AR41" s="26"/>
      <c r="AS41" s="26"/>
      <c r="AT41" s="26"/>
      <c r="AU41" s="26"/>
      <c r="AV41" s="26"/>
      <c r="AW41" s="26"/>
      <c r="AX41" s="381"/>
      <c r="AY41" s="26"/>
      <c r="BA41" s="400"/>
      <c r="BB41" s="400"/>
      <c r="BC41" s="400"/>
      <c r="BD41" s="400"/>
    </row>
    <row r="42" spans="1:60" ht="6" customHeight="1" thickBot="1">
      <c r="A42" s="26"/>
      <c r="B42" s="401"/>
      <c r="C42" s="26"/>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402"/>
      <c r="AH42" s="402"/>
      <c r="AI42" s="402"/>
      <c r="AJ42" s="402"/>
      <c r="AK42" s="26"/>
      <c r="AL42" s="26"/>
      <c r="AM42" s="26"/>
      <c r="AN42" s="26"/>
      <c r="AO42" s="26"/>
      <c r="AP42" s="26"/>
      <c r="AQ42" s="26"/>
      <c r="AR42" s="26"/>
      <c r="AS42" s="26"/>
      <c r="AT42" s="26"/>
      <c r="AU42" s="26"/>
      <c r="AV42" s="26"/>
      <c r="AW42" s="381"/>
      <c r="AX42" s="26"/>
      <c r="AY42" s="26"/>
      <c r="BA42" s="403"/>
      <c r="BB42" s="403"/>
      <c r="BC42" s="403"/>
    </row>
    <row r="43" spans="1:60" ht="17.5" customHeight="1" thickBot="1">
      <c r="A43" s="26"/>
      <c r="B43" s="404" t="s">
        <v>89</v>
      </c>
      <c r="D43" s="405"/>
      <c r="E43" s="405"/>
      <c r="F43" s="405"/>
      <c r="G43" s="405"/>
      <c r="H43" s="405"/>
      <c r="I43" s="405"/>
      <c r="J43" s="405"/>
      <c r="K43" s="405"/>
      <c r="L43" s="405"/>
      <c r="M43" s="405"/>
      <c r="N43" s="405"/>
      <c r="O43" s="405"/>
      <c r="P43" s="405"/>
      <c r="Q43" s="402"/>
      <c r="R43" s="405"/>
      <c r="S43" s="402"/>
      <c r="T43" s="402"/>
      <c r="U43" s="402"/>
      <c r="V43" s="402"/>
      <c r="W43" s="402"/>
      <c r="X43" s="402"/>
      <c r="Y43" s="402"/>
      <c r="Z43" s="402"/>
      <c r="AA43" s="402"/>
      <c r="AB43" s="402"/>
      <c r="AC43" s="402"/>
      <c r="AD43" s="402"/>
      <c r="AE43" s="402"/>
      <c r="AF43" s="402"/>
      <c r="AG43" s="402"/>
      <c r="AH43" s="402"/>
      <c r="AI43" s="402"/>
      <c r="AJ43" s="402"/>
      <c r="AK43" s="371" t="str">
        <f>IF(H6="", "", IF(AK40="○", "", IF(OR(BA45=TRUE,BA46=TRUE,BA47=TRUE,AND(BA48=TRUE,G48&lt;&gt;"")), "○", "×")))</f>
        <v/>
      </c>
      <c r="AL43" s="26"/>
      <c r="AM43" s="406"/>
      <c r="AN43" s="26"/>
      <c r="AO43" s="26"/>
      <c r="AP43" s="26"/>
      <c r="AQ43" s="26"/>
      <c r="AR43" s="26"/>
      <c r="AS43" s="26"/>
      <c r="AT43" s="26"/>
      <c r="AU43" s="26"/>
      <c r="AV43" s="26"/>
      <c r="AW43" s="26"/>
      <c r="AX43" s="381"/>
      <c r="AY43" s="26"/>
      <c r="BA43" s="403"/>
      <c r="BB43" s="403"/>
      <c r="BC43" s="403"/>
    </row>
    <row r="44" spans="1:60" ht="15.65" customHeight="1" thickBot="1">
      <c r="A44" s="361"/>
      <c r="B44" s="407" t="s">
        <v>90</v>
      </c>
      <c r="C44" s="408"/>
      <c r="D44" s="409"/>
      <c r="E44" s="410"/>
      <c r="F44" s="411"/>
      <c r="G44" s="411"/>
      <c r="H44" s="411"/>
      <c r="I44" s="411"/>
      <c r="J44" s="411"/>
      <c r="K44" s="411"/>
      <c r="L44" s="411"/>
      <c r="M44" s="411"/>
      <c r="N44" s="411"/>
      <c r="O44" s="411"/>
      <c r="P44" s="411"/>
      <c r="Q44" s="411"/>
      <c r="R44" s="411"/>
      <c r="S44" s="411"/>
      <c r="T44" s="411"/>
      <c r="U44" s="411"/>
      <c r="V44" s="411"/>
      <c r="W44" s="411"/>
      <c r="X44" s="411"/>
      <c r="Y44" s="411"/>
      <c r="Z44" s="411"/>
      <c r="AA44" s="411"/>
      <c r="AB44" s="411"/>
      <c r="AC44" s="411"/>
      <c r="AD44" s="411"/>
      <c r="AE44" s="411"/>
      <c r="AF44" s="411"/>
      <c r="AG44" s="411"/>
      <c r="AH44" s="411"/>
      <c r="AI44" s="411"/>
      <c r="AJ44" s="411"/>
      <c r="AK44" s="412"/>
      <c r="AL44" s="361"/>
      <c r="AM44" s="899" t="s">
        <v>91</v>
      </c>
      <c r="AN44" s="899"/>
      <c r="AO44" s="899"/>
      <c r="AP44" s="899"/>
      <c r="AQ44" s="899"/>
      <c r="AR44" s="899"/>
      <c r="AS44" s="899"/>
      <c r="AT44" s="899"/>
      <c r="AU44" s="899"/>
      <c r="AV44" s="899"/>
      <c r="AW44" s="899"/>
      <c r="AX44" s="899"/>
      <c r="AY44" s="899"/>
      <c r="BA44" s="403"/>
      <c r="BB44" s="403"/>
      <c r="BC44" s="403"/>
    </row>
    <row r="45" spans="1:60" s="23" customFormat="1" ht="19.899999999999999" customHeight="1">
      <c r="A45" s="361"/>
      <c r="B45" s="413"/>
      <c r="C45" s="414"/>
      <c r="D45" s="415" t="s">
        <v>92</v>
      </c>
      <c r="E45" s="416"/>
      <c r="F45" s="416"/>
      <c r="G45" s="416"/>
      <c r="H45" s="416"/>
      <c r="I45" s="416"/>
      <c r="J45" s="416"/>
      <c r="K45" s="416"/>
      <c r="L45" s="416"/>
      <c r="M45" s="416"/>
      <c r="N45" s="416"/>
      <c r="O45" s="416"/>
      <c r="P45" s="416"/>
      <c r="Q45" s="416"/>
      <c r="R45" s="416"/>
      <c r="S45" s="387"/>
      <c r="T45" s="387"/>
      <c r="U45" s="387"/>
      <c r="V45" s="387"/>
      <c r="W45" s="387"/>
      <c r="X45" s="387"/>
      <c r="Y45" s="387"/>
      <c r="Z45" s="387"/>
      <c r="AA45" s="387"/>
      <c r="AB45" s="387"/>
      <c r="AC45" s="387"/>
      <c r="AD45" s="387"/>
      <c r="AE45" s="387"/>
      <c r="AF45" s="387"/>
      <c r="AG45" s="387"/>
      <c r="AH45" s="387"/>
      <c r="AI45" s="379"/>
      <c r="AJ45" s="361"/>
      <c r="AK45" s="417"/>
      <c r="AL45" s="361"/>
      <c r="AM45" s="361"/>
      <c r="AN45" s="418"/>
      <c r="AO45" s="418"/>
      <c r="AP45" s="418"/>
      <c r="AQ45" s="418"/>
      <c r="AR45" s="418"/>
      <c r="AS45" s="418"/>
      <c r="AT45" s="418"/>
      <c r="AU45" s="418"/>
      <c r="AV45" s="419"/>
      <c r="AW45" s="420"/>
      <c r="AX45" s="361"/>
      <c r="AY45" s="361"/>
      <c r="BA45" s="421" t="b">
        <v>0</v>
      </c>
      <c r="BB45" s="403"/>
      <c r="BC45" s="403"/>
    </row>
    <row r="46" spans="1:60" s="23" customFormat="1" ht="19.899999999999999" customHeight="1">
      <c r="A46" s="361"/>
      <c r="B46" s="413"/>
      <c r="C46" s="422"/>
      <c r="D46" s="392" t="s">
        <v>93</v>
      </c>
      <c r="E46" s="423"/>
      <c r="F46" s="423"/>
      <c r="G46" s="423"/>
      <c r="H46" s="423"/>
      <c r="I46" s="423"/>
      <c r="J46" s="423"/>
      <c r="K46" s="423"/>
      <c r="L46" s="423"/>
      <c r="M46" s="423"/>
      <c r="N46" s="423"/>
      <c r="O46" s="423"/>
      <c r="P46" s="423"/>
      <c r="Q46" s="423"/>
      <c r="R46" s="423"/>
      <c r="S46" s="423"/>
      <c r="T46" s="387"/>
      <c r="U46" s="387"/>
      <c r="V46" s="387"/>
      <c r="W46" s="387"/>
      <c r="X46" s="387"/>
      <c r="Y46" s="387"/>
      <c r="Z46" s="387"/>
      <c r="AA46" s="387"/>
      <c r="AB46" s="387"/>
      <c r="AC46" s="387"/>
      <c r="AD46" s="387"/>
      <c r="AE46" s="387"/>
      <c r="AF46" s="387"/>
      <c r="AG46" s="387"/>
      <c r="AH46" s="387"/>
      <c r="AI46" s="379"/>
      <c r="AJ46" s="361"/>
      <c r="AK46" s="417"/>
      <c r="AL46" s="361"/>
      <c r="AM46" s="361"/>
      <c r="AN46" s="418"/>
      <c r="AO46" s="418"/>
      <c r="AP46" s="418"/>
      <c r="AQ46" s="418"/>
      <c r="AR46" s="418"/>
      <c r="AS46" s="418"/>
      <c r="AT46" s="418"/>
      <c r="AU46" s="419"/>
      <c r="AV46" s="420"/>
      <c r="AW46" s="361"/>
      <c r="AX46" s="361"/>
      <c r="AY46" s="361"/>
      <c r="BA46" s="421" t="b">
        <v>0</v>
      </c>
      <c r="BB46" s="403"/>
      <c r="BC46" s="403"/>
    </row>
    <row r="47" spans="1:60" s="23" customFormat="1" ht="19.899999999999999" customHeight="1" thickBot="1">
      <c r="A47" s="361"/>
      <c r="B47" s="413"/>
      <c r="C47" s="422"/>
      <c r="D47" s="900" t="s">
        <v>94</v>
      </c>
      <c r="E47" s="900"/>
      <c r="F47" s="900"/>
      <c r="G47" s="900"/>
      <c r="H47" s="900"/>
      <c r="I47" s="900"/>
      <c r="J47" s="900"/>
      <c r="K47" s="900"/>
      <c r="L47" s="900"/>
      <c r="M47" s="900"/>
      <c r="N47" s="900"/>
      <c r="O47" s="900"/>
      <c r="P47" s="900"/>
      <c r="Q47" s="900"/>
      <c r="R47" s="900"/>
      <c r="S47" s="900"/>
      <c r="T47" s="900"/>
      <c r="U47" s="900"/>
      <c r="V47" s="900"/>
      <c r="W47" s="900"/>
      <c r="X47" s="900"/>
      <c r="Y47" s="900"/>
      <c r="Z47" s="900"/>
      <c r="AA47" s="900"/>
      <c r="AB47" s="900"/>
      <c r="AC47" s="900"/>
      <c r="AD47" s="900"/>
      <c r="AE47" s="900"/>
      <c r="AF47" s="900"/>
      <c r="AG47" s="900"/>
      <c r="AH47" s="900"/>
      <c r="AI47" s="900"/>
      <c r="AJ47" s="361"/>
      <c r="AK47" s="417"/>
      <c r="AL47" s="418"/>
      <c r="AM47" s="361"/>
      <c r="AN47" s="418"/>
      <c r="AO47" s="418"/>
      <c r="AP47" s="418"/>
      <c r="AQ47" s="418"/>
      <c r="AR47" s="418"/>
      <c r="AS47" s="418"/>
      <c r="AT47" s="418"/>
      <c r="AU47" s="419"/>
      <c r="AV47" s="420"/>
      <c r="AW47" s="361"/>
      <c r="AX47" s="361"/>
      <c r="AY47" s="361"/>
      <c r="BA47" s="421" t="b">
        <v>0</v>
      </c>
      <c r="BB47" s="403"/>
      <c r="BC47" s="403"/>
    </row>
    <row r="48" spans="1:60" s="23" customFormat="1" ht="19.899999999999999" customHeight="1" thickBot="1">
      <c r="A48" s="361"/>
      <c r="B48" s="424"/>
      <c r="C48" s="425"/>
      <c r="D48" s="426" t="s">
        <v>95</v>
      </c>
      <c r="E48" s="427"/>
      <c r="F48" s="428"/>
      <c r="G48" s="893"/>
      <c r="H48" s="893"/>
      <c r="I48" s="893"/>
      <c r="J48" s="893"/>
      <c r="K48" s="893"/>
      <c r="L48" s="893"/>
      <c r="M48" s="893"/>
      <c r="N48" s="893"/>
      <c r="O48" s="893"/>
      <c r="P48" s="893"/>
      <c r="Q48" s="893"/>
      <c r="R48" s="893"/>
      <c r="S48" s="893"/>
      <c r="T48" s="893"/>
      <c r="U48" s="893"/>
      <c r="V48" s="893"/>
      <c r="W48" s="893"/>
      <c r="X48" s="893"/>
      <c r="Y48" s="893"/>
      <c r="Z48" s="893"/>
      <c r="AA48" s="893"/>
      <c r="AB48" s="893"/>
      <c r="AC48" s="893"/>
      <c r="AD48" s="893"/>
      <c r="AE48" s="893"/>
      <c r="AF48" s="893"/>
      <c r="AG48" s="893"/>
      <c r="AH48" s="893"/>
      <c r="AI48" s="893"/>
      <c r="AJ48" s="893"/>
      <c r="AK48" s="429" t="s">
        <v>96</v>
      </c>
      <c r="AL48" s="361"/>
      <c r="AM48" s="894" t="s">
        <v>97</v>
      </c>
      <c r="AN48" s="894"/>
      <c r="AO48" s="894"/>
      <c r="AP48" s="894"/>
      <c r="AQ48" s="894"/>
      <c r="AR48" s="894"/>
      <c r="AS48" s="894"/>
      <c r="AT48" s="894"/>
      <c r="AU48" s="894"/>
      <c r="AV48" s="894"/>
      <c r="AW48" s="894"/>
      <c r="AX48" s="894"/>
      <c r="AY48" s="894"/>
      <c r="AZ48" s="430"/>
      <c r="BA48" s="421" t="b">
        <v>0</v>
      </c>
      <c r="BB48" s="403"/>
      <c r="BC48" s="403"/>
    </row>
    <row r="49" spans="1:60" s="23" customFormat="1" ht="4.9000000000000004" customHeight="1">
      <c r="A49" s="26"/>
      <c r="B49" s="431"/>
      <c r="C49" s="432"/>
      <c r="D49" s="432"/>
      <c r="E49" s="432"/>
      <c r="F49" s="432"/>
      <c r="G49" s="432"/>
      <c r="H49" s="432"/>
      <c r="I49" s="432"/>
      <c r="J49" s="432"/>
      <c r="K49" s="432"/>
      <c r="L49" s="432"/>
      <c r="M49" s="432"/>
      <c r="N49" s="432"/>
      <c r="O49" s="432"/>
      <c r="P49" s="432"/>
      <c r="Q49" s="432"/>
      <c r="R49" s="432"/>
      <c r="S49" s="432"/>
      <c r="T49" s="432"/>
      <c r="U49" s="432"/>
      <c r="V49" s="432"/>
      <c r="W49" s="432"/>
      <c r="X49" s="432"/>
      <c r="Y49" s="432"/>
      <c r="Z49" s="432"/>
      <c r="AA49" s="432"/>
      <c r="AB49" s="432"/>
      <c r="AC49" s="432"/>
      <c r="AD49" s="432"/>
      <c r="AE49" s="432"/>
      <c r="AF49" s="432"/>
      <c r="AG49" s="432"/>
      <c r="AH49" s="432"/>
      <c r="AI49" s="432"/>
      <c r="AJ49" s="432"/>
      <c r="AK49" s="432"/>
      <c r="AL49" s="26"/>
      <c r="AM49" s="361"/>
      <c r="AN49" s="361"/>
      <c r="AO49" s="361"/>
      <c r="AP49" s="361"/>
      <c r="AQ49" s="361"/>
      <c r="AR49" s="361"/>
      <c r="AS49" s="361"/>
      <c r="AT49" s="361"/>
      <c r="AU49" s="361"/>
      <c r="AV49" s="361"/>
      <c r="AW49" s="361"/>
      <c r="AX49" s="361"/>
      <c r="AY49" s="361"/>
      <c r="BA49" s="403"/>
      <c r="BB49" s="403"/>
      <c r="BC49" s="403"/>
    </row>
    <row r="50" spans="1:60" ht="23.5" customHeight="1" thickBot="1">
      <c r="A50" s="26"/>
      <c r="B50" s="895" t="s">
        <v>98</v>
      </c>
      <c r="C50" s="896"/>
      <c r="D50" s="896"/>
      <c r="E50" s="896"/>
      <c r="F50" s="896"/>
      <c r="G50" s="896"/>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26"/>
      <c r="AM50" s="26"/>
      <c r="AN50" s="26"/>
      <c r="AO50" s="26"/>
      <c r="AP50" s="26"/>
      <c r="AQ50" s="26"/>
      <c r="AR50" s="26"/>
      <c r="AS50" s="26"/>
      <c r="AT50" s="26"/>
      <c r="AU50" s="26"/>
      <c r="AV50" s="26"/>
      <c r="AW50" s="26"/>
      <c r="AX50" s="26"/>
      <c r="AY50" s="26"/>
      <c r="AZ50" s="23"/>
      <c r="BA50" s="891" t="s">
        <v>99</v>
      </c>
      <c r="BB50" s="891"/>
      <c r="BC50" s="891"/>
      <c r="BD50" s="891"/>
      <c r="BE50" s="891" t="s">
        <v>99</v>
      </c>
      <c r="BF50" s="891"/>
      <c r="BG50" s="891"/>
      <c r="BH50" s="891"/>
    </row>
    <row r="51" spans="1:60" ht="18" customHeight="1" thickBot="1">
      <c r="A51" s="26"/>
      <c r="B51" s="897" t="s">
        <v>2484</v>
      </c>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897"/>
      <c r="AC51" s="897"/>
      <c r="AD51" s="897"/>
      <c r="AE51" s="897"/>
      <c r="AF51" s="897"/>
      <c r="AG51" s="897"/>
      <c r="AH51" s="897"/>
      <c r="AI51" s="897"/>
      <c r="AJ51" s="897"/>
      <c r="AK51" s="433" t="str">
        <f>IF(H6="", "", IF(AND('別紙様式2-2（個票（４、５月））'!AI9="○",'別紙様式2-3（個票（６月以降））'!AI9="○"), "○", "×"))</f>
        <v/>
      </c>
      <c r="AL51" s="26"/>
      <c r="AM51" s="26"/>
      <c r="AN51" s="26"/>
      <c r="AO51" s="26"/>
      <c r="AP51" s="26"/>
      <c r="AQ51" s="26"/>
      <c r="AR51" s="26"/>
      <c r="AS51" s="26"/>
      <c r="AT51" s="26"/>
      <c r="AU51" s="26"/>
      <c r="AV51" s="26"/>
      <c r="AW51" s="26"/>
      <c r="AX51" s="26"/>
      <c r="AY51" s="26"/>
      <c r="BA51" s="892">
        <f>COUNTIF('別紙様式2-2（個票（４、５月））'!N12:N111,"処遇改善加算Ⅰ")</f>
        <v>0</v>
      </c>
      <c r="BB51" s="892"/>
      <c r="BC51" s="892"/>
      <c r="BD51" s="892"/>
      <c r="BE51" s="892">
        <f>COUNTIF('別紙様式2-3（個票（６月以降））'!N12:N111,"*処遇改善加算Ⅰ*")</f>
        <v>0</v>
      </c>
      <c r="BF51" s="892"/>
      <c r="BG51" s="892"/>
      <c r="BH51" s="892"/>
    </row>
    <row r="52" spans="1:60" ht="6" customHeight="1">
      <c r="A52" s="361"/>
      <c r="B52" s="377"/>
      <c r="C52" s="377"/>
      <c r="D52" s="377"/>
      <c r="E52" s="377"/>
      <c r="F52" s="378"/>
      <c r="G52" s="379"/>
      <c r="H52" s="379"/>
      <c r="I52" s="379"/>
      <c r="J52" s="379"/>
      <c r="K52" s="379"/>
      <c r="L52" s="379"/>
      <c r="M52" s="434"/>
      <c r="N52" s="434"/>
      <c r="O52" s="434"/>
      <c r="P52" s="434"/>
      <c r="Q52" s="434"/>
      <c r="R52" s="434"/>
      <c r="S52" s="434"/>
      <c r="T52" s="434"/>
      <c r="U52" s="379"/>
      <c r="V52" s="379"/>
      <c r="W52" s="435"/>
      <c r="X52" s="379"/>
      <c r="Y52" s="379"/>
      <c r="Z52" s="379"/>
      <c r="AA52" s="434"/>
      <c r="AB52" s="379"/>
      <c r="AC52" s="379"/>
      <c r="AD52" s="379"/>
      <c r="AE52" s="379"/>
      <c r="AF52" s="379"/>
      <c r="AG52" s="379"/>
      <c r="AH52" s="379"/>
      <c r="AI52" s="379"/>
      <c r="AJ52" s="379"/>
      <c r="AK52" s="379"/>
      <c r="AL52" s="361"/>
      <c r="AM52" s="406"/>
      <c r="AN52" s="26"/>
      <c r="AO52" s="26"/>
      <c r="AP52" s="26"/>
      <c r="AQ52" s="26"/>
      <c r="AR52" s="26"/>
      <c r="AS52" s="26"/>
      <c r="AT52" s="26"/>
      <c r="AU52" s="26"/>
      <c r="AV52" s="26"/>
      <c r="AW52" s="26"/>
      <c r="AX52" s="26"/>
      <c r="AY52" s="26"/>
    </row>
    <row r="53" spans="1:60" s="23" customFormat="1" ht="23.5" customHeight="1" thickBot="1">
      <c r="A53" s="55"/>
      <c r="B53" s="820" t="s">
        <v>100</v>
      </c>
      <c r="C53" s="820"/>
      <c r="D53" s="820"/>
      <c r="E53" s="820"/>
      <c r="F53" s="820"/>
      <c r="G53" s="820"/>
      <c r="H53" s="820"/>
      <c r="I53" s="820"/>
      <c r="J53" s="820"/>
      <c r="K53" s="820"/>
      <c r="L53" s="820"/>
      <c r="M53" s="820"/>
      <c r="N53" s="820"/>
      <c r="O53" s="820"/>
      <c r="P53" s="820"/>
      <c r="Q53" s="821"/>
      <c r="R53" s="821"/>
      <c r="S53" s="821"/>
      <c r="T53" s="821"/>
      <c r="U53" s="821"/>
      <c r="V53" s="821"/>
      <c r="W53" s="821"/>
      <c r="X53" s="821"/>
      <c r="Y53" s="821"/>
      <c r="Z53" s="821"/>
      <c r="AA53" s="821"/>
      <c r="AB53" s="821"/>
      <c r="AC53" s="821"/>
      <c r="AD53" s="821"/>
      <c r="AE53" s="821"/>
      <c r="AF53" s="821"/>
      <c r="AG53" s="821"/>
      <c r="AH53" s="821"/>
      <c r="AI53" s="821"/>
      <c r="AJ53" s="821"/>
      <c r="AK53" s="821"/>
      <c r="AL53" s="157"/>
      <c r="AM53" s="361"/>
      <c r="AN53" s="436"/>
      <c r="AO53" s="361"/>
      <c r="AP53" s="361"/>
      <c r="AQ53" s="361"/>
      <c r="AR53" s="361"/>
      <c r="AS53" s="361"/>
      <c r="AT53" s="361"/>
      <c r="AU53" s="361"/>
      <c r="AV53" s="361"/>
      <c r="AW53" s="361"/>
      <c r="AX53" s="361"/>
      <c r="AY53" s="361"/>
    </row>
    <row r="54" spans="1:60" s="27" customFormat="1" ht="19.5" customHeight="1" thickBot="1">
      <c r="A54" s="55"/>
      <c r="B54" s="835" t="s">
        <v>101</v>
      </c>
      <c r="C54" s="836"/>
      <c r="D54" s="836"/>
      <c r="E54" s="836"/>
      <c r="F54" s="836"/>
      <c r="G54" s="836"/>
      <c r="H54" s="836"/>
      <c r="I54" s="836"/>
      <c r="J54" s="836"/>
      <c r="K54" s="836"/>
      <c r="L54" s="836"/>
      <c r="M54" s="836"/>
      <c r="N54" s="836"/>
      <c r="O54" s="836"/>
      <c r="P54" s="836"/>
      <c r="Q54" s="836"/>
      <c r="R54" s="836"/>
      <c r="S54" s="836"/>
      <c r="T54" s="836"/>
      <c r="U54" s="836"/>
      <c r="V54" s="836"/>
      <c r="W54" s="836"/>
      <c r="X54" s="836"/>
      <c r="Y54" s="836"/>
      <c r="Z54" s="836"/>
      <c r="AA54" s="836"/>
      <c r="AB54" s="836"/>
      <c r="AC54" s="836"/>
      <c r="AD54" s="836"/>
      <c r="AE54" s="836"/>
      <c r="AF54" s="836"/>
      <c r="AG54" s="836"/>
      <c r="AH54" s="836"/>
      <c r="AI54" s="836"/>
      <c r="AJ54" s="836"/>
      <c r="AK54" s="43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157"/>
      <c r="AM54" s="395"/>
      <c r="AN54" s="395"/>
      <c r="AO54" s="395"/>
      <c r="AP54" s="395"/>
      <c r="AQ54" s="395"/>
      <c r="AR54" s="395"/>
      <c r="AS54" s="395"/>
      <c r="AT54" s="395"/>
      <c r="AU54" s="395"/>
      <c r="AV54" s="395"/>
      <c r="AW54" s="395"/>
      <c r="AX54" s="395"/>
      <c r="AY54" s="395"/>
    </row>
    <row r="55" spans="1:60" s="27" customFormat="1" ht="31.5" customHeight="1" thickBot="1">
      <c r="A55" s="55"/>
      <c r="B55" s="845" t="s">
        <v>2466</v>
      </c>
      <c r="C55" s="846"/>
      <c r="D55" s="846"/>
      <c r="E55" s="846"/>
      <c r="F55" s="846"/>
      <c r="G55" s="846"/>
      <c r="H55" s="846"/>
      <c r="I55" s="846"/>
      <c r="J55" s="846"/>
      <c r="K55" s="846"/>
      <c r="L55" s="846"/>
      <c r="M55" s="846"/>
      <c r="N55" s="846"/>
      <c r="O55" s="846"/>
      <c r="P55" s="846"/>
      <c r="Q55" s="846"/>
      <c r="R55" s="846"/>
      <c r="S55" s="846"/>
      <c r="T55" s="846"/>
      <c r="U55" s="846"/>
      <c r="V55" s="846"/>
      <c r="W55" s="846"/>
      <c r="X55" s="846"/>
      <c r="Y55" s="846"/>
      <c r="Z55" s="846"/>
      <c r="AA55" s="846"/>
      <c r="AB55" s="846"/>
      <c r="AC55" s="846"/>
      <c r="AD55" s="846"/>
      <c r="AE55" s="846"/>
      <c r="AF55" s="846"/>
      <c r="AG55" s="846"/>
      <c r="AH55" s="846"/>
      <c r="AI55" s="846"/>
      <c r="AJ55" s="846"/>
      <c r="AK55" s="521"/>
      <c r="AL55" s="157"/>
      <c r="AM55" s="437"/>
      <c r="AN55" s="395"/>
      <c r="AO55" s="395"/>
      <c r="AP55" s="395"/>
      <c r="AQ55" s="395"/>
      <c r="AR55" s="395"/>
      <c r="AS55" s="395"/>
      <c r="AT55" s="395"/>
      <c r="AU55" s="395"/>
      <c r="AV55" s="395"/>
      <c r="AW55" s="395"/>
      <c r="AX55" s="395"/>
      <c r="AY55" s="395"/>
    </row>
    <row r="56" spans="1:60" s="27" customFormat="1" ht="19.5" customHeight="1" thickBot="1">
      <c r="A56" s="55"/>
      <c r="B56" s="837" t="s">
        <v>2500</v>
      </c>
      <c r="C56" s="837"/>
      <c r="D56" s="837"/>
      <c r="E56" s="837"/>
      <c r="F56" s="837"/>
      <c r="G56" s="837"/>
      <c r="H56" s="837"/>
      <c r="I56" s="837"/>
      <c r="J56" s="837"/>
      <c r="K56" s="837"/>
      <c r="L56" s="837"/>
      <c r="M56" s="837"/>
      <c r="N56" s="837"/>
      <c r="O56" s="837"/>
      <c r="P56" s="837"/>
      <c r="Q56" s="837"/>
      <c r="R56" s="837"/>
      <c r="S56" s="837"/>
      <c r="T56" s="837"/>
      <c r="U56" s="837"/>
      <c r="V56" s="837"/>
      <c r="W56" s="837"/>
      <c r="X56" s="837"/>
      <c r="Y56" s="837"/>
      <c r="Z56" s="837"/>
      <c r="AA56" s="837"/>
      <c r="AB56" s="837"/>
      <c r="AC56" s="837"/>
      <c r="AD56" s="837"/>
      <c r="AE56" s="837"/>
      <c r="AF56" s="837"/>
      <c r="AG56" s="837"/>
      <c r="AH56" s="837"/>
      <c r="AI56" s="837"/>
      <c r="AJ56" s="838"/>
      <c r="AK56" s="438" t="str">
        <f>IF(H6="","",IF(AK54="○","",IF(OR(AND(BB65=1,BA65&gt;=2,BA69&gt;=2,BA73&gt;=2,BA77&gt;=2,BA81&gt;=3),AND(BB65=2,BA65&gt;=1,BA69&gt;=1,BA73&gt;=1,BA77&gt;=1,BA81&gt;=1,BA90&gt;=1)),"○","×")))</f>
        <v/>
      </c>
      <c r="AL56" s="157"/>
      <c r="AM56" s="437"/>
      <c r="AN56" s="437"/>
      <c r="AO56" s="437"/>
      <c r="AP56" s="437"/>
      <c r="AQ56" s="437"/>
      <c r="AR56" s="437"/>
      <c r="AS56" s="437"/>
      <c r="AT56" s="437"/>
      <c r="AU56" s="437"/>
      <c r="AV56" s="437"/>
      <c r="AW56" s="437"/>
      <c r="AX56" s="437"/>
      <c r="AY56" s="437"/>
    </row>
    <row r="57" spans="1:60" s="27" customFormat="1" ht="7.9" customHeight="1" thickBot="1">
      <c r="A57" s="55"/>
      <c r="B57" s="439"/>
      <c r="C57" s="439"/>
      <c r="D57" s="439"/>
      <c r="E57" s="439"/>
      <c r="F57" s="439"/>
      <c r="G57" s="439"/>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40"/>
      <c r="AL57" s="157"/>
      <c r="AM57" s="437"/>
      <c r="AN57" s="437"/>
      <c r="AO57" s="437"/>
      <c r="AP57" s="437"/>
      <c r="AQ57" s="437"/>
      <c r="AR57" s="437"/>
      <c r="AS57" s="437"/>
      <c r="AT57" s="437"/>
      <c r="AU57" s="437"/>
      <c r="AV57" s="437"/>
      <c r="AW57" s="437"/>
      <c r="AX57" s="437"/>
      <c r="AY57" s="437"/>
    </row>
    <row r="58" spans="1:60" ht="21" customHeight="1" thickBot="1">
      <c r="A58" s="26"/>
      <c r="B58" s="391" t="s">
        <v>102</v>
      </c>
      <c r="C58" s="392"/>
      <c r="D58" s="392"/>
      <c r="E58" s="392"/>
      <c r="F58" s="392"/>
      <c r="G58" s="392"/>
      <c r="H58" s="392"/>
      <c r="I58" s="392"/>
      <c r="J58" s="392"/>
      <c r="K58" s="392"/>
      <c r="L58" s="392"/>
      <c r="M58" s="392"/>
      <c r="N58" s="392"/>
      <c r="O58" s="392"/>
      <c r="P58" s="392"/>
      <c r="Q58" s="392"/>
      <c r="R58" s="392"/>
      <c r="S58" s="392"/>
      <c r="T58" s="392"/>
      <c r="U58" s="392"/>
      <c r="V58" s="361"/>
      <c r="W58" s="392"/>
      <c r="X58" s="392"/>
      <c r="Y58" s="392"/>
      <c r="Z58" s="392"/>
      <c r="AA58" s="392"/>
      <c r="AB58" s="392"/>
      <c r="AC58" s="392"/>
      <c r="AD58" s="392"/>
      <c r="AE58" s="392"/>
      <c r="AF58" s="392"/>
      <c r="AG58" s="392"/>
      <c r="AH58" s="361"/>
      <c r="AI58" s="839" t="b">
        <f>IF(OR(BA40&gt;0,BE40&gt;0),"該当")</f>
        <v>0</v>
      </c>
      <c r="AJ58" s="840"/>
      <c r="AK58" s="841"/>
      <c r="AL58" s="361"/>
      <c r="AM58" s="55"/>
      <c r="AN58" s="55"/>
      <c r="AO58" s="55"/>
      <c r="AP58" s="55"/>
      <c r="AQ58" s="55"/>
      <c r="AR58" s="55"/>
      <c r="AS58" s="55"/>
      <c r="AT58" s="55"/>
      <c r="AU58" s="55"/>
      <c r="AV58" s="55"/>
      <c r="AW58" s="55"/>
      <c r="AX58" s="55"/>
      <c r="AY58" s="55"/>
    </row>
    <row r="59" spans="1:60" ht="51" customHeight="1">
      <c r="A59" s="26"/>
      <c r="B59" s="441" t="s">
        <v>103</v>
      </c>
      <c r="C59" s="828" t="s">
        <v>104</v>
      </c>
      <c r="D59" s="828"/>
      <c r="E59" s="828"/>
      <c r="F59" s="828"/>
      <c r="G59" s="828"/>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s="828"/>
      <c r="AG59" s="828"/>
      <c r="AH59" s="828"/>
      <c r="AI59" s="828"/>
      <c r="AJ59" s="828"/>
      <c r="AK59" s="828"/>
      <c r="AL59" s="361"/>
      <c r="AM59" s="361"/>
      <c r="AN59" s="361"/>
      <c r="AO59" s="361"/>
      <c r="AP59" s="361"/>
      <c r="AQ59" s="442"/>
      <c r="AR59" s="361"/>
      <c r="AS59" s="361"/>
      <c r="AT59" s="361"/>
      <c r="AU59" s="443"/>
      <c r="AV59" s="361"/>
      <c r="AW59" s="361"/>
      <c r="AX59" s="361"/>
      <c r="AY59" s="361"/>
    </row>
    <row r="60" spans="1:60" ht="7.9" customHeight="1" thickBot="1">
      <c r="A60" s="26"/>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1"/>
      <c r="AJ60" s="361"/>
      <c r="AK60" s="361"/>
      <c r="AL60" s="361"/>
      <c r="AM60" s="361"/>
      <c r="AN60" s="361"/>
      <c r="AO60" s="361"/>
      <c r="AP60" s="361"/>
      <c r="AQ60" s="361"/>
      <c r="AR60" s="361"/>
      <c r="AS60" s="361"/>
      <c r="AT60" s="361"/>
      <c r="AU60" s="361"/>
      <c r="AV60" s="361"/>
      <c r="AW60" s="361"/>
      <c r="AX60" s="361"/>
      <c r="AY60" s="361"/>
    </row>
    <row r="61" spans="1:60" ht="21" customHeight="1" thickBot="1">
      <c r="A61" s="26"/>
      <c r="B61" s="444" t="s">
        <v>105</v>
      </c>
      <c r="C61" s="445"/>
      <c r="D61" s="445"/>
      <c r="E61" s="445"/>
      <c r="F61" s="445"/>
      <c r="G61" s="445"/>
      <c r="H61" s="445"/>
      <c r="I61" s="445"/>
      <c r="J61" s="445"/>
      <c r="K61" s="445"/>
      <c r="L61" s="445"/>
      <c r="M61" s="445"/>
      <c r="N61" s="445"/>
      <c r="O61" s="445"/>
      <c r="P61" s="445"/>
      <c r="Q61" s="445"/>
      <c r="R61" s="445"/>
      <c r="S61" s="445"/>
      <c r="T61" s="445"/>
      <c r="U61" s="445"/>
      <c r="V61" s="445"/>
      <c r="W61" s="445"/>
      <c r="X61" s="445"/>
      <c r="Y61" s="445"/>
      <c r="Z61" s="445"/>
      <c r="AA61" s="445"/>
      <c r="AB61" s="445"/>
      <c r="AC61" s="445"/>
      <c r="AD61" s="445"/>
      <c r="AE61" s="445"/>
      <c r="AF61" s="445"/>
      <c r="AG61" s="445"/>
      <c r="AH61" s="375"/>
      <c r="AI61" s="842" t="str">
        <f>IF(OR(BA32-BA40&gt;0,BE32-BE40&gt;0),"該当","")</f>
        <v/>
      </c>
      <c r="AJ61" s="843"/>
      <c r="AK61" s="844"/>
      <c r="AL61" s="361"/>
      <c r="AM61" s="361"/>
      <c r="AN61" s="361"/>
      <c r="AO61" s="26"/>
      <c r="AP61" s="361"/>
      <c r="AQ61" s="361"/>
      <c r="AR61" s="361"/>
      <c r="AS61" s="361"/>
      <c r="AT61" s="361"/>
      <c r="AU61" s="361"/>
      <c r="AV61" s="361"/>
      <c r="AW61" s="361"/>
      <c r="AX61" s="361"/>
      <c r="AY61" s="361"/>
    </row>
    <row r="62" spans="1:60" ht="59.5" customHeight="1">
      <c r="A62" s="26"/>
      <c r="B62" s="441" t="s">
        <v>103</v>
      </c>
      <c r="C62" s="828" t="s">
        <v>106</v>
      </c>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828"/>
      <c r="AL62" s="361"/>
      <c r="AM62" s="361"/>
      <c r="AN62" s="361"/>
      <c r="AO62" s="361"/>
      <c r="AP62" s="361"/>
      <c r="AR62" s="361"/>
      <c r="AS62" s="361"/>
      <c r="AT62" s="361"/>
      <c r="AU62" s="361"/>
      <c r="AV62" s="361"/>
      <c r="AW62" s="361"/>
      <c r="AX62" s="361"/>
      <c r="AY62" s="361"/>
    </row>
    <row r="63" spans="1:60" ht="7.9" customHeight="1">
      <c r="A63" s="26"/>
      <c r="B63" s="446"/>
      <c r="C63" s="446"/>
      <c r="D63" s="446"/>
      <c r="E63" s="446"/>
      <c r="F63" s="446"/>
      <c r="G63" s="446"/>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361"/>
      <c r="AM63" s="361"/>
      <c r="AN63" s="361"/>
      <c r="AO63" s="361"/>
      <c r="AP63" s="361"/>
      <c r="AQ63" s="361"/>
      <c r="AR63" s="361"/>
      <c r="AS63" s="361"/>
      <c r="AT63" s="361"/>
      <c r="AU63" s="361"/>
      <c r="AV63" s="361"/>
      <c r="AW63" s="361"/>
      <c r="AX63" s="361"/>
      <c r="AY63" s="361"/>
    </row>
    <row r="64" spans="1:60" ht="19.899999999999999" customHeight="1" thickBot="1">
      <c r="A64" s="26"/>
      <c r="B64" s="829" t="s">
        <v>107</v>
      </c>
      <c r="C64" s="830"/>
      <c r="D64" s="831"/>
      <c r="E64" s="832" t="s">
        <v>108</v>
      </c>
      <c r="F64" s="833"/>
      <c r="G64" s="833"/>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4"/>
      <c r="AL64" s="361"/>
      <c r="AM64" s="26"/>
      <c r="AN64" s="395"/>
      <c r="AO64" s="395"/>
      <c r="AP64" s="395"/>
      <c r="AQ64" s="395"/>
      <c r="AR64" s="395"/>
      <c r="AS64" s="395"/>
      <c r="AT64" s="395"/>
      <c r="AU64" s="395"/>
      <c r="AV64" s="395"/>
      <c r="AW64" s="395"/>
      <c r="AX64" s="395"/>
      <c r="AY64" s="395"/>
      <c r="AZ64" s="447"/>
      <c r="BA64" s="448" t="s">
        <v>109</v>
      </c>
      <c r="BB64" s="32" t="s">
        <v>2497</v>
      </c>
    </row>
    <row r="65" spans="1:54" ht="15.65" customHeight="1">
      <c r="A65" s="26"/>
      <c r="B65" s="644" t="s">
        <v>110</v>
      </c>
      <c r="C65" s="645"/>
      <c r="D65" s="645"/>
      <c r="E65" s="799"/>
      <c r="F65" s="800"/>
      <c r="G65" s="808" t="s">
        <v>111</v>
      </c>
      <c r="H65" s="809"/>
      <c r="I65" s="809"/>
      <c r="J65" s="809"/>
      <c r="K65" s="809"/>
      <c r="L65" s="809"/>
      <c r="M65" s="809"/>
      <c r="N65" s="809"/>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361"/>
      <c r="AM65" s="791" t="str">
        <f>IF(AI58="該当", "！この区分（４項目）から２つ以上の取組が選択されていません。",  "！この区分（４項目）から１つ以上の取組が選択されていません。")</f>
        <v>！この区分（４項目）から１つ以上の取組が選択されていません。</v>
      </c>
      <c r="AN65" s="792"/>
      <c r="AO65" s="792"/>
      <c r="AP65" s="792"/>
      <c r="AQ65" s="792"/>
      <c r="AR65" s="792"/>
      <c r="AS65" s="792"/>
      <c r="AT65" s="792"/>
      <c r="AU65" s="792"/>
      <c r="AV65" s="792"/>
      <c r="AW65" s="792"/>
      <c r="AX65" s="793"/>
      <c r="AY65" s="361"/>
      <c r="AZ65" s="23"/>
      <c r="BA65" s="803">
        <f>COUNTIF(E65:F68, "✓")+COUNTIF(E65:F68, "誓約")</f>
        <v>0</v>
      </c>
      <c r="BB65" s="32" t="str">
        <f>IF(AI58="該当",1,IF(AI61="該当",2,""))</f>
        <v/>
      </c>
    </row>
    <row r="66" spans="1:54" ht="15" customHeight="1" thickBot="1">
      <c r="A66" s="26"/>
      <c r="B66" s="646"/>
      <c r="C66" s="647"/>
      <c r="D66" s="647"/>
      <c r="E66" s="801"/>
      <c r="F66" s="802"/>
      <c r="G66" s="808" t="s">
        <v>112</v>
      </c>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361"/>
      <c r="AM66" s="794"/>
      <c r="AN66" s="795"/>
      <c r="AO66" s="795"/>
      <c r="AP66" s="795"/>
      <c r="AQ66" s="795"/>
      <c r="AR66" s="795"/>
      <c r="AS66" s="795"/>
      <c r="AT66" s="795"/>
      <c r="AU66" s="795"/>
      <c r="AV66" s="795"/>
      <c r="AW66" s="795"/>
      <c r="AX66" s="796"/>
      <c r="AY66" s="437"/>
      <c r="AZ66" s="449"/>
      <c r="BA66" s="803"/>
    </row>
    <row r="67" spans="1:54" ht="24.65" customHeight="1">
      <c r="A67" s="26"/>
      <c r="B67" s="646"/>
      <c r="C67" s="647"/>
      <c r="D67" s="647"/>
      <c r="E67" s="801"/>
      <c r="F67" s="802"/>
      <c r="G67" s="808" t="s">
        <v>113</v>
      </c>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361"/>
      <c r="AM67" s="437"/>
      <c r="AN67" s="437"/>
      <c r="AO67" s="437"/>
      <c r="AP67" s="437"/>
      <c r="AQ67" s="437"/>
      <c r="AR67" s="437"/>
      <c r="AS67" s="437"/>
      <c r="AT67" s="437"/>
      <c r="AU67" s="437"/>
      <c r="AV67" s="437"/>
      <c r="AW67" s="437"/>
      <c r="AX67" s="437"/>
      <c r="AY67" s="437"/>
      <c r="AZ67" s="449"/>
      <c r="BA67" s="803"/>
    </row>
    <row r="68" spans="1:54" ht="15" customHeight="1" thickBot="1">
      <c r="A68" s="26"/>
      <c r="B68" s="797"/>
      <c r="C68" s="798"/>
      <c r="D68" s="798"/>
      <c r="E68" s="826"/>
      <c r="F68" s="827"/>
      <c r="G68" s="808" t="s">
        <v>114</v>
      </c>
      <c r="H68" s="809"/>
      <c r="I68" s="809"/>
      <c r="J68" s="809"/>
      <c r="K68" s="809"/>
      <c r="L68" s="809"/>
      <c r="M68" s="809"/>
      <c r="N68" s="809"/>
      <c r="O68" s="809"/>
      <c r="P68" s="809"/>
      <c r="Q68" s="809"/>
      <c r="R68" s="809"/>
      <c r="S68" s="809"/>
      <c r="T68" s="809"/>
      <c r="U68" s="809"/>
      <c r="V68" s="809"/>
      <c r="W68" s="809"/>
      <c r="X68" s="809"/>
      <c r="Y68" s="809"/>
      <c r="Z68" s="809"/>
      <c r="AA68" s="809"/>
      <c r="AB68" s="809"/>
      <c r="AC68" s="809"/>
      <c r="AD68" s="809"/>
      <c r="AE68" s="809"/>
      <c r="AF68" s="809"/>
      <c r="AG68" s="809"/>
      <c r="AH68" s="809"/>
      <c r="AI68" s="809"/>
      <c r="AJ68" s="809"/>
      <c r="AK68" s="809"/>
      <c r="AL68" s="361"/>
      <c r="AM68" s="450"/>
      <c r="AN68" s="450"/>
      <c r="AO68" s="450"/>
      <c r="AP68" s="450"/>
      <c r="AQ68" s="450"/>
      <c r="AR68" s="450"/>
      <c r="AS68" s="450"/>
      <c r="AT68" s="450"/>
      <c r="AU68" s="450"/>
      <c r="AV68" s="450"/>
      <c r="AW68" s="450"/>
      <c r="AX68" s="450"/>
      <c r="AY68" s="361"/>
      <c r="AZ68" s="23"/>
      <c r="BA68" s="803"/>
    </row>
    <row r="69" spans="1:54" ht="39.65" customHeight="1">
      <c r="A69" s="26"/>
      <c r="B69" s="644" t="s">
        <v>115</v>
      </c>
      <c r="C69" s="645"/>
      <c r="D69" s="645"/>
      <c r="E69" s="799"/>
      <c r="F69" s="800"/>
      <c r="G69" s="808" t="s">
        <v>116</v>
      </c>
      <c r="H69" s="809"/>
      <c r="I69" s="809"/>
      <c r="J69" s="809"/>
      <c r="K69" s="809"/>
      <c r="L69" s="809"/>
      <c r="M69" s="809"/>
      <c r="N69" s="809"/>
      <c r="O69" s="809"/>
      <c r="P69" s="809"/>
      <c r="Q69" s="809"/>
      <c r="R69" s="809"/>
      <c r="S69" s="809"/>
      <c r="T69" s="809"/>
      <c r="U69" s="809"/>
      <c r="V69" s="809"/>
      <c r="W69" s="809"/>
      <c r="X69" s="809"/>
      <c r="Y69" s="809"/>
      <c r="Z69" s="809"/>
      <c r="AA69" s="809"/>
      <c r="AB69" s="809"/>
      <c r="AC69" s="809"/>
      <c r="AD69" s="809"/>
      <c r="AE69" s="809"/>
      <c r="AF69" s="809"/>
      <c r="AG69" s="809"/>
      <c r="AH69" s="809"/>
      <c r="AI69" s="809"/>
      <c r="AJ69" s="809"/>
      <c r="AK69" s="809"/>
      <c r="AL69" s="361"/>
      <c r="AM69" s="791" t="str">
        <f>IF(AI58="該当", "！この区分（４項目）から２つ以上の取組が選択されていません。",  "！この区分（４項目）から１つ以上の取組が選択されていません。")</f>
        <v>！この区分（４項目）から１つ以上の取組が選択されていません。</v>
      </c>
      <c r="AN69" s="792"/>
      <c r="AO69" s="792"/>
      <c r="AP69" s="792"/>
      <c r="AQ69" s="792"/>
      <c r="AR69" s="792"/>
      <c r="AS69" s="792"/>
      <c r="AT69" s="792"/>
      <c r="AU69" s="792"/>
      <c r="AV69" s="792"/>
      <c r="AW69" s="792"/>
      <c r="AX69" s="793"/>
      <c r="AY69" s="361"/>
      <c r="AZ69" s="23"/>
      <c r="BA69" s="803">
        <f>COUNTIF(E69:F72, "✓")+COUNTIF(E69:F72, "誓約")</f>
        <v>0</v>
      </c>
    </row>
    <row r="70" spans="1:54" ht="15" customHeight="1" thickBot="1">
      <c r="A70" s="26"/>
      <c r="B70" s="646"/>
      <c r="C70" s="647"/>
      <c r="D70" s="647"/>
      <c r="E70" s="801"/>
      <c r="F70" s="802"/>
      <c r="G70" s="808" t="s">
        <v>117</v>
      </c>
      <c r="H70" s="809"/>
      <c r="I70" s="809"/>
      <c r="J70" s="809"/>
      <c r="K70" s="809"/>
      <c r="L70" s="809"/>
      <c r="M70" s="809"/>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361"/>
      <c r="AM70" s="794"/>
      <c r="AN70" s="795"/>
      <c r="AO70" s="795"/>
      <c r="AP70" s="795"/>
      <c r="AQ70" s="795"/>
      <c r="AR70" s="795"/>
      <c r="AS70" s="795"/>
      <c r="AT70" s="795"/>
      <c r="AU70" s="795"/>
      <c r="AV70" s="795"/>
      <c r="AW70" s="795"/>
      <c r="AX70" s="796"/>
      <c r="AY70" s="437"/>
      <c r="AZ70" s="449"/>
      <c r="BA70" s="803"/>
    </row>
    <row r="71" spans="1:54" ht="15" customHeight="1">
      <c r="A71" s="26"/>
      <c r="B71" s="646"/>
      <c r="C71" s="647"/>
      <c r="D71" s="647"/>
      <c r="E71" s="822"/>
      <c r="F71" s="823"/>
      <c r="G71" s="808" t="s">
        <v>118</v>
      </c>
      <c r="H71" s="809"/>
      <c r="I71" s="809"/>
      <c r="J71" s="809"/>
      <c r="K71" s="809"/>
      <c r="L71" s="809"/>
      <c r="M71" s="80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361"/>
      <c r="AM71" s="451"/>
      <c r="AN71" s="437"/>
      <c r="AO71" s="437"/>
      <c r="AP71" s="437"/>
      <c r="AQ71" s="437"/>
      <c r="AR71" s="437"/>
      <c r="AS71" s="437"/>
      <c r="AT71" s="437"/>
      <c r="AU71" s="437"/>
      <c r="AV71" s="437"/>
      <c r="AW71" s="437"/>
      <c r="AX71" s="437"/>
      <c r="AY71" s="437"/>
      <c r="AZ71" s="449"/>
      <c r="BA71" s="803"/>
    </row>
    <row r="72" spans="1:54" ht="15" customHeight="1" thickBot="1">
      <c r="A72" s="26"/>
      <c r="B72" s="797"/>
      <c r="C72" s="798"/>
      <c r="D72" s="798"/>
      <c r="E72" s="824"/>
      <c r="F72" s="825"/>
      <c r="G72" s="808" t="s">
        <v>119</v>
      </c>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361"/>
      <c r="AM72" s="450"/>
      <c r="AN72" s="450"/>
      <c r="AO72" s="450"/>
      <c r="AP72" s="450"/>
      <c r="AQ72" s="450"/>
      <c r="AR72" s="450"/>
      <c r="AS72" s="450"/>
      <c r="AT72" s="450"/>
      <c r="AU72" s="450"/>
      <c r="AV72" s="450"/>
      <c r="AW72" s="450"/>
      <c r="AX72" s="450"/>
      <c r="AY72" s="361"/>
      <c r="AZ72" s="23"/>
      <c r="BA72" s="803"/>
    </row>
    <row r="73" spans="1:54" ht="15" customHeight="1">
      <c r="A73" s="26"/>
      <c r="B73" s="644" t="s">
        <v>120</v>
      </c>
      <c r="C73" s="645"/>
      <c r="D73" s="645"/>
      <c r="E73" s="799"/>
      <c r="F73" s="800"/>
      <c r="G73" s="808" t="s">
        <v>121</v>
      </c>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361"/>
      <c r="AM73" s="791" t="str">
        <f>IF(AI58="該当", "！この区分（４項目）から２つ以上の取組が選択されていません。",  "！この区分（４項目）から１つ以上の取組が選択されていません。")</f>
        <v>！この区分（４項目）から１つ以上の取組が選択されていません。</v>
      </c>
      <c r="AN73" s="792"/>
      <c r="AO73" s="792"/>
      <c r="AP73" s="792"/>
      <c r="AQ73" s="792"/>
      <c r="AR73" s="792"/>
      <c r="AS73" s="792"/>
      <c r="AT73" s="792"/>
      <c r="AU73" s="792"/>
      <c r="AV73" s="792"/>
      <c r="AW73" s="792"/>
      <c r="AX73" s="793"/>
      <c r="AY73" s="361"/>
      <c r="AZ73" s="23"/>
      <c r="BA73" s="803">
        <f>COUNTIF(E73:F76, "✓")+COUNTIF(E73:F76, "誓約")</f>
        <v>0</v>
      </c>
    </row>
    <row r="74" spans="1:54" ht="28.15" customHeight="1" thickBot="1">
      <c r="A74" s="26"/>
      <c r="B74" s="646"/>
      <c r="C74" s="647"/>
      <c r="D74" s="647"/>
      <c r="E74" s="801"/>
      <c r="F74" s="802"/>
      <c r="G74" s="808" t="s">
        <v>122</v>
      </c>
      <c r="H74" s="809"/>
      <c r="I74" s="809"/>
      <c r="J74" s="809"/>
      <c r="K74" s="809"/>
      <c r="L74" s="809"/>
      <c r="M74" s="809"/>
      <c r="N74" s="809"/>
      <c r="O74" s="809"/>
      <c r="P74" s="809"/>
      <c r="Q74" s="809"/>
      <c r="R74" s="809"/>
      <c r="S74" s="809"/>
      <c r="T74" s="809"/>
      <c r="U74" s="809"/>
      <c r="V74" s="809"/>
      <c r="W74" s="809"/>
      <c r="X74" s="809"/>
      <c r="Y74" s="809"/>
      <c r="Z74" s="809"/>
      <c r="AA74" s="809"/>
      <c r="AB74" s="809"/>
      <c r="AC74" s="809"/>
      <c r="AD74" s="809"/>
      <c r="AE74" s="809"/>
      <c r="AF74" s="809"/>
      <c r="AG74" s="809"/>
      <c r="AH74" s="809"/>
      <c r="AI74" s="809"/>
      <c r="AJ74" s="809"/>
      <c r="AK74" s="809"/>
      <c r="AL74" s="361"/>
      <c r="AM74" s="794"/>
      <c r="AN74" s="795"/>
      <c r="AO74" s="795"/>
      <c r="AP74" s="795"/>
      <c r="AQ74" s="795"/>
      <c r="AR74" s="795"/>
      <c r="AS74" s="795"/>
      <c r="AT74" s="795"/>
      <c r="AU74" s="795"/>
      <c r="AV74" s="795"/>
      <c r="AW74" s="795"/>
      <c r="AX74" s="796"/>
      <c r="AY74" s="437"/>
      <c r="AZ74" s="449"/>
      <c r="BA74" s="803"/>
    </row>
    <row r="75" spans="1:54" ht="45.65" customHeight="1">
      <c r="A75" s="26"/>
      <c r="B75" s="646"/>
      <c r="C75" s="647"/>
      <c r="D75" s="647"/>
      <c r="E75" s="801"/>
      <c r="F75" s="802"/>
      <c r="G75" s="808" t="s">
        <v>123</v>
      </c>
      <c r="H75" s="809"/>
      <c r="I75" s="809"/>
      <c r="J75" s="809"/>
      <c r="K75" s="809"/>
      <c r="L75" s="809"/>
      <c r="M75" s="809"/>
      <c r="N75" s="809"/>
      <c r="O75" s="809"/>
      <c r="P75" s="809"/>
      <c r="Q75" s="809"/>
      <c r="R75" s="809"/>
      <c r="S75" s="809"/>
      <c r="T75" s="809"/>
      <c r="U75" s="809"/>
      <c r="V75" s="809"/>
      <c r="W75" s="809"/>
      <c r="X75" s="809"/>
      <c r="Y75" s="809"/>
      <c r="Z75" s="809"/>
      <c r="AA75" s="809"/>
      <c r="AB75" s="809"/>
      <c r="AC75" s="809"/>
      <c r="AD75" s="809"/>
      <c r="AE75" s="809"/>
      <c r="AF75" s="809"/>
      <c r="AG75" s="809"/>
      <c r="AH75" s="809"/>
      <c r="AI75" s="809"/>
      <c r="AJ75" s="809"/>
      <c r="AK75" s="809"/>
      <c r="AL75" s="361"/>
      <c r="AM75" s="437"/>
      <c r="AN75" s="437"/>
      <c r="AO75" s="437"/>
      <c r="AP75" s="437"/>
      <c r="AQ75" s="437"/>
      <c r="AR75" s="437"/>
      <c r="AS75" s="437"/>
      <c r="AT75" s="437"/>
      <c r="AU75" s="437"/>
      <c r="AV75" s="437"/>
      <c r="AW75" s="437"/>
      <c r="AX75" s="437"/>
      <c r="AZ75" s="449"/>
      <c r="BA75" s="803"/>
    </row>
    <row r="76" spans="1:54" ht="27" customHeight="1" thickBot="1">
      <c r="A76" s="26"/>
      <c r="B76" s="797"/>
      <c r="C76" s="798"/>
      <c r="D76" s="798"/>
      <c r="E76" s="801"/>
      <c r="F76" s="802"/>
      <c r="G76" s="808" t="s">
        <v>124</v>
      </c>
      <c r="H76" s="809"/>
      <c r="I76" s="809"/>
      <c r="J76" s="809"/>
      <c r="K76" s="809"/>
      <c r="L76" s="809"/>
      <c r="M76" s="809"/>
      <c r="N76" s="809"/>
      <c r="O76" s="809"/>
      <c r="P76" s="809"/>
      <c r="Q76" s="809"/>
      <c r="R76" s="809"/>
      <c r="S76" s="809"/>
      <c r="T76" s="809"/>
      <c r="U76" s="809"/>
      <c r="V76" s="809"/>
      <c r="W76" s="809"/>
      <c r="X76" s="809"/>
      <c r="Y76" s="809"/>
      <c r="Z76" s="809"/>
      <c r="AA76" s="809"/>
      <c r="AB76" s="809"/>
      <c r="AC76" s="809"/>
      <c r="AD76" s="809"/>
      <c r="AE76" s="809"/>
      <c r="AF76" s="809"/>
      <c r="AG76" s="809"/>
      <c r="AH76" s="809"/>
      <c r="AI76" s="809"/>
      <c r="AJ76" s="809"/>
      <c r="AK76" s="809"/>
      <c r="AL76" s="361"/>
      <c r="AM76" s="450"/>
      <c r="AN76" s="450"/>
      <c r="AO76" s="450"/>
      <c r="AP76" s="450"/>
      <c r="AQ76" s="450"/>
      <c r="AR76" s="450"/>
      <c r="AS76" s="450"/>
      <c r="AT76" s="450"/>
      <c r="AU76" s="450"/>
      <c r="AV76" s="450"/>
      <c r="AW76" s="450"/>
      <c r="AX76" s="450"/>
      <c r="AY76" s="361"/>
      <c r="AZ76" s="23"/>
      <c r="BA76" s="803"/>
    </row>
    <row r="77" spans="1:54" ht="15" customHeight="1">
      <c r="A77" s="26"/>
      <c r="B77" s="644" t="s">
        <v>125</v>
      </c>
      <c r="C77" s="645"/>
      <c r="D77" s="645"/>
      <c r="E77" s="799"/>
      <c r="F77" s="800"/>
      <c r="G77" s="808" t="s">
        <v>126</v>
      </c>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809"/>
      <c r="AL77" s="361"/>
      <c r="AM77" s="816" t="str">
        <f>IF(AI58="該当", "！この区分（４項目）から２つ以上の取組が選択されていません。",  "！この区分（４項目）から１つ以上の取組が選択されていません。")</f>
        <v>！この区分（４項目）から１つ以上の取組が選択されていません。</v>
      </c>
      <c r="AN77" s="792"/>
      <c r="AO77" s="792"/>
      <c r="AP77" s="792"/>
      <c r="AQ77" s="792"/>
      <c r="AR77" s="792"/>
      <c r="AS77" s="792"/>
      <c r="AT77" s="792"/>
      <c r="AU77" s="792"/>
      <c r="AV77" s="792"/>
      <c r="AW77" s="792"/>
      <c r="AX77" s="793"/>
      <c r="AY77" s="361"/>
      <c r="AZ77" s="23"/>
      <c r="BA77" s="803">
        <f>COUNTIF(E77:F80, "✓")+COUNTIF(E77:F80, "誓約")</f>
        <v>0</v>
      </c>
    </row>
    <row r="78" spans="1:54" ht="32.5" customHeight="1" thickBot="1">
      <c r="A78" s="26"/>
      <c r="B78" s="646"/>
      <c r="C78" s="647"/>
      <c r="D78" s="647"/>
      <c r="E78" s="801"/>
      <c r="F78" s="802"/>
      <c r="G78" s="808" t="s">
        <v>127</v>
      </c>
      <c r="H78" s="809"/>
      <c r="I78" s="809"/>
      <c r="J78" s="809"/>
      <c r="K78" s="809"/>
      <c r="L78" s="809"/>
      <c r="M78" s="809"/>
      <c r="N78" s="809"/>
      <c r="O78" s="809"/>
      <c r="P78" s="809"/>
      <c r="Q78" s="809"/>
      <c r="R78" s="809"/>
      <c r="S78" s="809"/>
      <c r="T78" s="809"/>
      <c r="U78" s="809"/>
      <c r="V78" s="809"/>
      <c r="W78" s="809"/>
      <c r="X78" s="809"/>
      <c r="Y78" s="809"/>
      <c r="Z78" s="809"/>
      <c r="AA78" s="809"/>
      <c r="AB78" s="809"/>
      <c r="AC78" s="809"/>
      <c r="AD78" s="809"/>
      <c r="AE78" s="809"/>
      <c r="AF78" s="809"/>
      <c r="AG78" s="809"/>
      <c r="AH78" s="809"/>
      <c r="AI78" s="809"/>
      <c r="AJ78" s="809"/>
      <c r="AK78" s="809"/>
      <c r="AL78" s="26"/>
      <c r="AM78" s="794"/>
      <c r="AN78" s="795"/>
      <c r="AO78" s="795"/>
      <c r="AP78" s="795"/>
      <c r="AQ78" s="795"/>
      <c r="AR78" s="795"/>
      <c r="AS78" s="795"/>
      <c r="AT78" s="795"/>
      <c r="AU78" s="795"/>
      <c r="AV78" s="795"/>
      <c r="AW78" s="795"/>
      <c r="AX78" s="796"/>
      <c r="AY78" s="437"/>
      <c r="AZ78" s="449"/>
      <c r="BA78" s="803"/>
    </row>
    <row r="79" spans="1:54" ht="28.15" customHeight="1">
      <c r="A79" s="26"/>
      <c r="B79" s="646"/>
      <c r="C79" s="647"/>
      <c r="D79" s="647"/>
      <c r="E79" s="801"/>
      <c r="F79" s="802"/>
      <c r="G79" s="808" t="s">
        <v>128</v>
      </c>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361"/>
      <c r="AM79" s="437"/>
      <c r="AN79" s="437"/>
      <c r="AO79" s="437"/>
      <c r="AP79" s="437"/>
      <c r="AQ79" s="437"/>
      <c r="AR79" s="437"/>
      <c r="AS79" s="437"/>
      <c r="AT79" s="437"/>
      <c r="AU79" s="437"/>
      <c r="AV79" s="437"/>
      <c r="AW79" s="437"/>
      <c r="AX79" s="437"/>
      <c r="AY79" s="437"/>
      <c r="AZ79" s="449"/>
      <c r="BA79" s="803"/>
    </row>
    <row r="80" spans="1:54" ht="15" customHeight="1" thickBot="1">
      <c r="A80" s="26"/>
      <c r="B80" s="797"/>
      <c r="C80" s="798"/>
      <c r="D80" s="798"/>
      <c r="E80" s="801"/>
      <c r="F80" s="802"/>
      <c r="G80" s="808" t="s">
        <v>129</v>
      </c>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361"/>
      <c r="AM80" s="437"/>
      <c r="AN80" s="437"/>
      <c r="AO80" s="437"/>
      <c r="AP80" s="437"/>
      <c r="AQ80" s="437"/>
      <c r="AR80" s="437"/>
      <c r="AS80" s="437"/>
      <c r="AT80" s="437"/>
      <c r="AU80" s="437"/>
      <c r="AV80" s="437"/>
      <c r="AW80" s="437"/>
      <c r="AX80" s="437"/>
      <c r="AY80" s="361"/>
      <c r="AZ80" s="23"/>
      <c r="BA80" s="803"/>
    </row>
    <row r="81" spans="1:53" ht="28.15" customHeight="1" thickBot="1">
      <c r="A81" s="26"/>
      <c r="B81" s="644" t="s">
        <v>130</v>
      </c>
      <c r="C81" s="645"/>
      <c r="D81" s="817"/>
      <c r="E81" s="799"/>
      <c r="F81" s="800"/>
      <c r="G81" s="808" t="s">
        <v>131</v>
      </c>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361"/>
      <c r="AM81" s="810" t="str">
        <f>IF(AND(AI58="該当", AND(E81="",E82= "")), "！⑰又は⑱の取組は必須です。","")</f>
        <v/>
      </c>
      <c r="AN81" s="811"/>
      <c r="AO81" s="811"/>
      <c r="AP81" s="811"/>
      <c r="AQ81" s="811"/>
      <c r="AR81" s="811"/>
      <c r="AS81" s="811"/>
      <c r="AT81" s="811"/>
      <c r="AU81" s="811"/>
      <c r="AV81" s="811"/>
      <c r="AW81" s="811"/>
      <c r="AX81" s="812"/>
      <c r="AY81" s="361"/>
      <c r="AZ81" s="23"/>
      <c r="BA81" s="813">
        <f>COUNTIF(E81:F88, "✓")+COUNTIF(E81:F88, "誓約")</f>
        <v>0</v>
      </c>
    </row>
    <row r="82" spans="1:53" ht="15" customHeight="1" thickBot="1">
      <c r="A82" s="26"/>
      <c r="B82" s="646"/>
      <c r="C82" s="647"/>
      <c r="D82" s="818"/>
      <c r="E82" s="801"/>
      <c r="F82" s="802"/>
      <c r="G82" s="808" t="s">
        <v>132</v>
      </c>
      <c r="H82" s="809"/>
      <c r="I82" s="809"/>
      <c r="J82" s="809"/>
      <c r="K82" s="809"/>
      <c r="L82" s="809"/>
      <c r="M82" s="809"/>
      <c r="N82" s="809"/>
      <c r="O82" s="809"/>
      <c r="P82" s="809"/>
      <c r="Q82" s="809"/>
      <c r="R82" s="809"/>
      <c r="S82" s="809"/>
      <c r="T82" s="809"/>
      <c r="U82" s="809"/>
      <c r="V82" s="809"/>
      <c r="W82" s="809"/>
      <c r="X82" s="809"/>
      <c r="Y82" s="809"/>
      <c r="Z82" s="809"/>
      <c r="AA82" s="809"/>
      <c r="AB82" s="809"/>
      <c r="AC82" s="809"/>
      <c r="AD82" s="809"/>
      <c r="AE82" s="809"/>
      <c r="AF82" s="809"/>
      <c r="AG82" s="809"/>
      <c r="AH82" s="809"/>
      <c r="AI82" s="809"/>
      <c r="AJ82" s="809"/>
      <c r="AK82" s="809"/>
      <c r="AL82" s="361"/>
      <c r="AM82" s="437"/>
      <c r="AN82" s="437"/>
      <c r="AO82" s="437"/>
      <c r="AP82" s="437"/>
      <c r="AQ82" s="437"/>
      <c r="AR82" s="437"/>
      <c r="AS82" s="437"/>
      <c r="AT82" s="437"/>
      <c r="AU82" s="437"/>
      <c r="AV82" s="437"/>
      <c r="AW82" s="437"/>
      <c r="AX82" s="437"/>
      <c r="AY82" s="437"/>
      <c r="AZ82" s="449"/>
      <c r="BA82" s="814"/>
    </row>
    <row r="83" spans="1:53" ht="26.5" customHeight="1">
      <c r="A83" s="26"/>
      <c r="B83" s="646"/>
      <c r="C83" s="647"/>
      <c r="D83" s="818"/>
      <c r="E83" s="801"/>
      <c r="F83" s="802"/>
      <c r="G83" s="808" t="s">
        <v>133</v>
      </c>
      <c r="H83" s="809"/>
      <c r="I83" s="809"/>
      <c r="J83" s="809"/>
      <c r="K83" s="809"/>
      <c r="L83" s="809"/>
      <c r="M83" s="809"/>
      <c r="N83" s="809"/>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09"/>
      <c r="AL83" s="361"/>
      <c r="AM83" s="791" t="str">
        <f>IF(AI58="該当", "！この区分（８項目）から３つ以上の取組が選択されていません。","！この区分（４項目）から２つ以上の取組が選択されていません。")</f>
        <v>！この区分（４項目）から２つ以上の取組が選択されていません。</v>
      </c>
      <c r="AN83" s="792"/>
      <c r="AO83" s="792"/>
      <c r="AP83" s="792"/>
      <c r="AQ83" s="792"/>
      <c r="AR83" s="792"/>
      <c r="AS83" s="792"/>
      <c r="AT83" s="792"/>
      <c r="AU83" s="792"/>
      <c r="AV83" s="792"/>
      <c r="AW83" s="792"/>
      <c r="AX83" s="793"/>
      <c r="AY83" s="437"/>
      <c r="AZ83" s="449"/>
      <c r="BA83" s="814"/>
    </row>
    <row r="84" spans="1:53" ht="15" customHeight="1" thickBot="1">
      <c r="A84" s="26"/>
      <c r="B84" s="646"/>
      <c r="C84" s="647"/>
      <c r="D84" s="818"/>
      <c r="E84" s="801"/>
      <c r="F84" s="802"/>
      <c r="G84" s="808" t="s">
        <v>134</v>
      </c>
      <c r="H84" s="809"/>
      <c r="I84" s="809"/>
      <c r="J84" s="809"/>
      <c r="K84" s="809"/>
      <c r="L84" s="809"/>
      <c r="M84" s="809"/>
      <c r="N84" s="809"/>
      <c r="O84" s="809"/>
      <c r="P84" s="809"/>
      <c r="Q84" s="809"/>
      <c r="R84" s="809"/>
      <c r="S84" s="809"/>
      <c r="T84" s="809"/>
      <c r="U84" s="809"/>
      <c r="V84" s="809"/>
      <c r="W84" s="809"/>
      <c r="X84" s="809"/>
      <c r="Y84" s="809"/>
      <c r="Z84" s="809"/>
      <c r="AA84" s="809"/>
      <c r="AB84" s="809"/>
      <c r="AC84" s="809"/>
      <c r="AD84" s="809"/>
      <c r="AE84" s="809"/>
      <c r="AF84" s="809"/>
      <c r="AG84" s="809"/>
      <c r="AH84" s="809"/>
      <c r="AI84" s="809"/>
      <c r="AJ84" s="809"/>
      <c r="AK84" s="809"/>
      <c r="AL84" s="361"/>
      <c r="AM84" s="794"/>
      <c r="AN84" s="795"/>
      <c r="AO84" s="795"/>
      <c r="AP84" s="795"/>
      <c r="AQ84" s="795"/>
      <c r="AR84" s="795"/>
      <c r="AS84" s="795"/>
      <c r="AT84" s="795"/>
      <c r="AU84" s="795"/>
      <c r="AV84" s="795"/>
      <c r="AW84" s="795"/>
      <c r="AX84" s="796"/>
      <c r="AY84" s="361"/>
      <c r="AZ84" s="23"/>
      <c r="BA84" s="814"/>
    </row>
    <row r="85" spans="1:53" ht="27.65" customHeight="1">
      <c r="A85" s="26"/>
      <c r="B85" s="646"/>
      <c r="C85" s="647"/>
      <c r="D85" s="818"/>
      <c r="E85" s="801"/>
      <c r="F85" s="802"/>
      <c r="G85" s="808" t="s">
        <v>135</v>
      </c>
      <c r="H85" s="809"/>
      <c r="I85" s="809"/>
      <c r="J85" s="809"/>
      <c r="K85" s="809"/>
      <c r="L85" s="809"/>
      <c r="M85" s="809"/>
      <c r="N85" s="809"/>
      <c r="O85" s="809"/>
      <c r="P85" s="809"/>
      <c r="Q85" s="809"/>
      <c r="R85" s="809"/>
      <c r="S85" s="809"/>
      <c r="T85" s="809"/>
      <c r="U85" s="809"/>
      <c r="V85" s="809"/>
      <c r="W85" s="809"/>
      <c r="X85" s="809"/>
      <c r="Y85" s="809"/>
      <c r="Z85" s="809"/>
      <c r="AA85" s="809"/>
      <c r="AB85" s="809"/>
      <c r="AC85" s="809"/>
      <c r="AD85" s="809"/>
      <c r="AE85" s="809"/>
      <c r="AF85" s="809"/>
      <c r="AG85" s="809"/>
      <c r="AH85" s="809"/>
      <c r="AI85" s="809"/>
      <c r="AJ85" s="809"/>
      <c r="AK85" s="809"/>
      <c r="AL85" s="361"/>
      <c r="AM85" s="437"/>
      <c r="AN85" s="437"/>
      <c r="AO85" s="437"/>
      <c r="AP85" s="437"/>
      <c r="AQ85" s="437"/>
      <c r="AR85" s="437"/>
      <c r="AS85" s="437"/>
      <c r="AT85" s="437"/>
      <c r="AU85" s="437"/>
      <c r="AV85" s="437"/>
      <c r="AW85" s="437"/>
      <c r="AX85" s="437"/>
      <c r="AY85" s="437"/>
      <c r="AZ85" s="449"/>
      <c r="BA85" s="814"/>
    </row>
    <row r="86" spans="1:53" ht="28.15" customHeight="1">
      <c r="A86" s="26"/>
      <c r="B86" s="646"/>
      <c r="C86" s="647"/>
      <c r="D86" s="818"/>
      <c r="E86" s="801"/>
      <c r="F86" s="802"/>
      <c r="G86" s="808" t="s">
        <v>136</v>
      </c>
      <c r="H86" s="809"/>
      <c r="I86" s="809"/>
      <c r="J86" s="809"/>
      <c r="K86" s="809"/>
      <c r="L86" s="809"/>
      <c r="M86" s="809"/>
      <c r="N86" s="809"/>
      <c r="O86" s="809"/>
      <c r="P86" s="809"/>
      <c r="Q86" s="809"/>
      <c r="R86" s="809"/>
      <c r="S86" s="809"/>
      <c r="T86" s="809"/>
      <c r="U86" s="809"/>
      <c r="V86" s="809"/>
      <c r="W86" s="809"/>
      <c r="X86" s="809"/>
      <c r="Y86" s="809"/>
      <c r="Z86" s="809"/>
      <c r="AA86" s="809"/>
      <c r="AB86" s="809"/>
      <c r="AC86" s="809"/>
      <c r="AD86" s="809"/>
      <c r="AE86" s="809"/>
      <c r="AF86" s="809"/>
      <c r="AG86" s="809"/>
      <c r="AH86" s="809"/>
      <c r="AI86" s="809"/>
      <c r="AJ86" s="809"/>
      <c r="AK86" s="809"/>
      <c r="AL86" s="361"/>
      <c r="AM86" s="437"/>
      <c r="AN86" s="437"/>
      <c r="AO86" s="437"/>
      <c r="AP86" s="437"/>
      <c r="AQ86" s="437"/>
      <c r="AR86" s="437"/>
      <c r="AS86" s="437"/>
      <c r="AT86" s="437"/>
      <c r="AU86" s="437"/>
      <c r="AV86" s="437"/>
      <c r="AX86" s="437"/>
      <c r="AY86" s="437"/>
      <c r="AZ86" s="449"/>
      <c r="BA86" s="814"/>
    </row>
    <row r="87" spans="1:53" ht="46.9" customHeight="1">
      <c r="A87" s="26"/>
      <c r="B87" s="646"/>
      <c r="C87" s="647"/>
      <c r="D87" s="818"/>
      <c r="E87" s="801"/>
      <c r="F87" s="802"/>
      <c r="G87" s="808" t="s">
        <v>137</v>
      </c>
      <c r="H87" s="809"/>
      <c r="I87" s="809"/>
      <c r="J87" s="809"/>
      <c r="K87" s="809"/>
      <c r="L87" s="809"/>
      <c r="M87" s="809"/>
      <c r="N87" s="809"/>
      <c r="O87" s="809"/>
      <c r="P87" s="809"/>
      <c r="Q87" s="809"/>
      <c r="R87" s="809"/>
      <c r="S87" s="809"/>
      <c r="T87" s="809"/>
      <c r="U87" s="809"/>
      <c r="V87" s="809"/>
      <c r="W87" s="809"/>
      <c r="X87" s="809"/>
      <c r="Y87" s="809"/>
      <c r="Z87" s="809"/>
      <c r="AA87" s="809"/>
      <c r="AB87" s="809"/>
      <c r="AC87" s="809"/>
      <c r="AD87" s="809"/>
      <c r="AE87" s="809"/>
      <c r="AF87" s="809"/>
      <c r="AG87" s="809"/>
      <c r="AH87" s="809"/>
      <c r="AI87" s="809"/>
      <c r="AJ87" s="809"/>
      <c r="AK87" s="809"/>
      <c r="AL87" s="361"/>
      <c r="AM87" s="437"/>
      <c r="AN87" s="437"/>
      <c r="AO87" s="437"/>
      <c r="AP87" s="437"/>
      <c r="AQ87" s="437"/>
      <c r="AR87" s="437"/>
      <c r="AS87" s="437"/>
      <c r="AT87" s="437"/>
      <c r="AU87" s="437"/>
      <c r="AV87" s="437"/>
      <c r="AW87" s="437"/>
      <c r="AX87" s="437"/>
      <c r="AY87" s="361"/>
      <c r="AZ87" s="23"/>
      <c r="BA87" s="814"/>
    </row>
    <row r="88" spans="1:53" ht="42.65" customHeight="1">
      <c r="A88" s="26"/>
      <c r="B88" s="646"/>
      <c r="C88" s="647"/>
      <c r="D88" s="818"/>
      <c r="E88" s="801"/>
      <c r="F88" s="802"/>
      <c r="G88" s="808" t="s">
        <v>138</v>
      </c>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361"/>
      <c r="AM88" s="437"/>
      <c r="AN88" s="437"/>
      <c r="AO88" s="437"/>
      <c r="AP88" s="437"/>
      <c r="AQ88" s="437"/>
      <c r="AR88" s="437"/>
      <c r="AS88" s="437"/>
      <c r="AT88" s="437"/>
      <c r="AU88" s="437"/>
      <c r="AV88" s="437"/>
      <c r="AW88" s="437"/>
      <c r="AX88" s="437"/>
      <c r="AY88" s="361"/>
      <c r="AZ88" s="23"/>
      <c r="BA88" s="815"/>
    </row>
    <row r="89" spans="1:53" ht="28.15" customHeight="1" thickBot="1">
      <c r="A89" s="26"/>
      <c r="B89" s="797"/>
      <c r="C89" s="798"/>
      <c r="D89" s="819"/>
      <c r="E89" s="804"/>
      <c r="F89" s="805"/>
      <c r="G89" s="806" t="s">
        <v>139</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7"/>
      <c r="AL89" s="361"/>
      <c r="AM89" s="437"/>
      <c r="AN89" s="437"/>
      <c r="AO89" s="437"/>
      <c r="AP89" s="437"/>
      <c r="AQ89" s="437"/>
      <c r="AR89" s="437"/>
      <c r="AS89" s="437"/>
      <c r="AT89" s="437"/>
      <c r="AU89" s="437"/>
      <c r="AV89" s="437"/>
      <c r="AW89" s="437"/>
      <c r="AX89" s="437"/>
      <c r="AY89" s="361"/>
      <c r="AZ89" s="23"/>
      <c r="BA89" s="452"/>
    </row>
    <row r="90" spans="1:53" ht="24" customHeight="1">
      <c r="A90" s="26"/>
      <c r="B90" s="644" t="s">
        <v>140</v>
      </c>
      <c r="C90" s="645"/>
      <c r="D90" s="645"/>
      <c r="E90" s="799"/>
      <c r="F90" s="800"/>
      <c r="G90" s="808" t="s">
        <v>141</v>
      </c>
      <c r="H90" s="809"/>
      <c r="I90" s="809"/>
      <c r="J90" s="809"/>
      <c r="K90" s="809"/>
      <c r="L90" s="809"/>
      <c r="M90" s="809"/>
      <c r="N90" s="809"/>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09"/>
      <c r="AL90" s="453"/>
      <c r="AM90" s="791" t="str">
        <f>IF(AI58="該当", "！この区分（４項目）から２つ以上の取組が選択されていません。",  "！この区分（４項目）から１つ以上の取組が選択されていません。")</f>
        <v>！この区分（４項目）から１つ以上の取組が選択されていません。</v>
      </c>
      <c r="AN90" s="792"/>
      <c r="AO90" s="792"/>
      <c r="AP90" s="792"/>
      <c r="AQ90" s="792"/>
      <c r="AR90" s="792"/>
      <c r="AS90" s="792"/>
      <c r="AT90" s="792"/>
      <c r="AU90" s="792"/>
      <c r="AV90" s="792"/>
      <c r="AW90" s="792"/>
      <c r="AX90" s="793"/>
      <c r="AY90" s="361"/>
      <c r="AZ90" s="23"/>
      <c r="BA90" s="803">
        <f>COUNTIF(E90:F93, "✓")+COUNTIF(E90:F93, "誓約")</f>
        <v>0</v>
      </c>
    </row>
    <row r="91" spans="1:53" ht="15" customHeight="1" thickBot="1">
      <c r="A91" s="26"/>
      <c r="B91" s="646"/>
      <c r="C91" s="647"/>
      <c r="D91" s="647"/>
      <c r="E91" s="801"/>
      <c r="F91" s="802"/>
      <c r="G91" s="808" t="s">
        <v>142</v>
      </c>
      <c r="H91" s="809"/>
      <c r="I91" s="809"/>
      <c r="J91" s="809"/>
      <c r="K91" s="809"/>
      <c r="L91" s="809"/>
      <c r="M91" s="809"/>
      <c r="N91" s="809"/>
      <c r="O91" s="809"/>
      <c r="P91" s="809"/>
      <c r="Q91" s="809"/>
      <c r="R91" s="809"/>
      <c r="S91" s="809"/>
      <c r="T91" s="809"/>
      <c r="U91" s="809"/>
      <c r="V91" s="809"/>
      <c r="W91" s="809"/>
      <c r="X91" s="809"/>
      <c r="Y91" s="809"/>
      <c r="Z91" s="809"/>
      <c r="AA91" s="809"/>
      <c r="AB91" s="809"/>
      <c r="AC91" s="809"/>
      <c r="AD91" s="809"/>
      <c r="AE91" s="809"/>
      <c r="AF91" s="809"/>
      <c r="AG91" s="809"/>
      <c r="AH91" s="809"/>
      <c r="AI91" s="809"/>
      <c r="AJ91" s="809"/>
      <c r="AK91" s="809"/>
      <c r="AL91" s="361"/>
      <c r="AM91" s="794"/>
      <c r="AN91" s="795"/>
      <c r="AO91" s="795"/>
      <c r="AP91" s="795"/>
      <c r="AQ91" s="795"/>
      <c r="AR91" s="795"/>
      <c r="AS91" s="795"/>
      <c r="AT91" s="795"/>
      <c r="AU91" s="795"/>
      <c r="AV91" s="795"/>
      <c r="AW91" s="795"/>
      <c r="AX91" s="796"/>
      <c r="AY91" s="437"/>
      <c r="AZ91" s="449"/>
      <c r="BA91" s="803"/>
    </row>
    <row r="92" spans="1:53" ht="15" customHeight="1">
      <c r="A92" s="26"/>
      <c r="B92" s="646"/>
      <c r="C92" s="647"/>
      <c r="D92" s="647"/>
      <c r="E92" s="801"/>
      <c r="F92" s="802"/>
      <c r="G92" s="808" t="s">
        <v>143</v>
      </c>
      <c r="H92" s="809"/>
      <c r="I92" s="809"/>
      <c r="J92" s="809"/>
      <c r="K92" s="809"/>
      <c r="L92" s="809"/>
      <c r="M92" s="809"/>
      <c r="N92" s="809"/>
      <c r="O92" s="809"/>
      <c r="P92" s="809"/>
      <c r="Q92" s="809"/>
      <c r="R92" s="809"/>
      <c r="S92" s="809"/>
      <c r="T92" s="809"/>
      <c r="U92" s="809"/>
      <c r="V92" s="809"/>
      <c r="W92" s="809"/>
      <c r="X92" s="809"/>
      <c r="Y92" s="809"/>
      <c r="Z92" s="809"/>
      <c r="AA92" s="809"/>
      <c r="AB92" s="809"/>
      <c r="AC92" s="809"/>
      <c r="AD92" s="809"/>
      <c r="AE92" s="809"/>
      <c r="AF92" s="809"/>
      <c r="AG92" s="809"/>
      <c r="AH92" s="809"/>
      <c r="AI92" s="809"/>
      <c r="AJ92" s="809"/>
      <c r="AK92" s="809"/>
      <c r="AL92" s="361"/>
      <c r="AM92" s="395"/>
      <c r="AN92" s="395"/>
      <c r="AO92" s="395"/>
      <c r="AP92" s="395"/>
      <c r="AQ92" s="395"/>
      <c r="AR92" s="395"/>
      <c r="AS92" s="395"/>
      <c r="AT92" s="395"/>
      <c r="AU92" s="395"/>
      <c r="AV92" s="395"/>
      <c r="AW92" s="395"/>
      <c r="AX92" s="395"/>
      <c r="AY92" s="437"/>
      <c r="AZ92" s="449"/>
      <c r="BA92" s="803"/>
    </row>
    <row r="93" spans="1:53" ht="15" customHeight="1" thickBot="1">
      <c r="A93" s="26"/>
      <c r="B93" s="797"/>
      <c r="C93" s="798"/>
      <c r="D93" s="798"/>
      <c r="E93" s="804"/>
      <c r="F93" s="805"/>
      <c r="G93" s="808" t="s">
        <v>144</v>
      </c>
      <c r="H93" s="809"/>
      <c r="I93" s="809"/>
      <c r="J93" s="809"/>
      <c r="K93" s="809"/>
      <c r="L93" s="809"/>
      <c r="M93" s="809"/>
      <c r="N93" s="809"/>
      <c r="O93" s="809"/>
      <c r="P93" s="809"/>
      <c r="Q93" s="809"/>
      <c r="R93" s="809"/>
      <c r="S93" s="809"/>
      <c r="T93" s="809"/>
      <c r="U93" s="809"/>
      <c r="V93" s="809"/>
      <c r="W93" s="809"/>
      <c r="X93" s="809"/>
      <c r="Y93" s="809"/>
      <c r="Z93" s="809"/>
      <c r="AA93" s="809"/>
      <c r="AB93" s="809"/>
      <c r="AC93" s="809"/>
      <c r="AD93" s="809"/>
      <c r="AE93" s="809"/>
      <c r="AF93" s="809"/>
      <c r="AG93" s="809"/>
      <c r="AH93" s="809"/>
      <c r="AI93" s="809"/>
      <c r="AJ93" s="809"/>
      <c r="AK93" s="809"/>
      <c r="AL93" s="26"/>
      <c r="AM93" s="395"/>
      <c r="AN93" s="395"/>
      <c r="AO93" s="395"/>
      <c r="AP93" s="395"/>
      <c r="AQ93" s="395"/>
      <c r="AR93" s="395"/>
      <c r="AS93" s="395"/>
      <c r="AT93" s="395"/>
      <c r="AU93" s="395"/>
      <c r="AV93" s="395"/>
      <c r="AW93" s="395"/>
      <c r="AX93" s="395"/>
      <c r="AY93" s="26"/>
      <c r="BA93" s="803"/>
    </row>
    <row r="94" spans="1:53" ht="6" customHeight="1">
      <c r="A94" s="26"/>
      <c r="B94" s="439"/>
      <c r="C94" s="439"/>
      <c r="D94" s="439"/>
      <c r="E94" s="439"/>
      <c r="F94" s="439"/>
      <c r="G94" s="454"/>
      <c r="H94" s="454"/>
      <c r="I94" s="454"/>
      <c r="J94" s="454"/>
      <c r="K94" s="454"/>
      <c r="L94" s="454"/>
      <c r="M94" s="454"/>
      <c r="N94" s="454"/>
      <c r="O94" s="454"/>
      <c r="P94" s="454"/>
      <c r="Q94" s="454"/>
      <c r="R94" s="454"/>
      <c r="S94" s="454"/>
      <c r="T94" s="454"/>
      <c r="U94" s="454"/>
      <c r="V94" s="454"/>
      <c r="W94" s="454"/>
      <c r="X94" s="454"/>
      <c r="Y94" s="454"/>
      <c r="Z94" s="454"/>
      <c r="AA94" s="454"/>
      <c r="AB94" s="454"/>
      <c r="AC94" s="454"/>
      <c r="AD94" s="454"/>
      <c r="AE94" s="454"/>
      <c r="AF94" s="454"/>
      <c r="AG94" s="454"/>
      <c r="AH94" s="454"/>
      <c r="AI94" s="454"/>
      <c r="AJ94" s="454"/>
      <c r="AK94" s="454"/>
      <c r="AL94" s="26"/>
      <c r="AM94" s="455"/>
      <c r="AN94" s="361"/>
      <c r="AO94" s="453"/>
      <c r="AP94" s="453"/>
      <c r="AQ94" s="453"/>
      <c r="AR94" s="453"/>
      <c r="AS94" s="453"/>
      <c r="AT94" s="453"/>
      <c r="AU94" s="453"/>
      <c r="AV94" s="453"/>
      <c r="AW94" s="453"/>
      <c r="AX94" s="453"/>
      <c r="AY94" s="453"/>
      <c r="AZ94" s="172"/>
    </row>
    <row r="95" spans="1:53" s="23" customFormat="1" ht="17.5" customHeight="1" thickBot="1">
      <c r="A95" s="453"/>
      <c r="B95" s="456" t="s">
        <v>145</v>
      </c>
      <c r="C95" s="457"/>
      <c r="D95" s="457"/>
      <c r="E95" s="457"/>
      <c r="F95" s="457"/>
      <c r="G95" s="457"/>
      <c r="H95" s="457"/>
      <c r="I95" s="457"/>
      <c r="J95" s="457"/>
      <c r="K95" s="457"/>
      <c r="L95" s="457"/>
      <c r="M95" s="457"/>
      <c r="N95" s="457"/>
      <c r="O95" s="457"/>
      <c r="P95" s="457"/>
      <c r="Q95" s="457"/>
      <c r="R95" s="457"/>
      <c r="S95" s="457"/>
      <c r="T95" s="457"/>
      <c r="U95" s="457"/>
      <c r="V95" s="457"/>
      <c r="W95" s="457"/>
      <c r="X95" s="457"/>
      <c r="Y95" s="457"/>
      <c r="Z95" s="457"/>
      <c r="AA95" s="457"/>
      <c r="AB95" s="457"/>
      <c r="AC95" s="457"/>
      <c r="AD95" s="457"/>
      <c r="AE95" s="457"/>
      <c r="AF95" s="457"/>
      <c r="AG95" s="457"/>
      <c r="AH95" s="457"/>
      <c r="AI95" s="457"/>
      <c r="AJ95" s="457"/>
      <c r="AK95" s="457"/>
      <c r="AL95" s="361"/>
      <c r="AM95" s="453"/>
      <c r="AN95" s="458"/>
      <c r="AO95" s="459"/>
      <c r="AP95" s="459"/>
      <c r="AQ95" s="459"/>
      <c r="AR95" s="459"/>
      <c r="AS95" s="459"/>
      <c r="AT95" s="459"/>
      <c r="AU95" s="459"/>
      <c r="AV95" s="459"/>
      <c r="AW95" s="459"/>
      <c r="AX95" s="459"/>
      <c r="AY95" s="459"/>
      <c r="AZ95" s="173"/>
    </row>
    <row r="96" spans="1:53" s="173" customFormat="1" ht="18.649999999999999" customHeight="1" thickBot="1">
      <c r="A96" s="453"/>
      <c r="B96" s="460" t="s">
        <v>71</v>
      </c>
      <c r="C96" s="779" t="s">
        <v>2471</v>
      </c>
      <c r="D96" s="779"/>
      <c r="E96" s="779"/>
      <c r="F96" s="779"/>
      <c r="G96" s="779"/>
      <c r="H96" s="779"/>
      <c r="I96" s="779"/>
      <c r="J96" s="779"/>
      <c r="K96" s="779"/>
      <c r="L96" s="779"/>
      <c r="M96" s="779"/>
      <c r="N96" s="779"/>
      <c r="O96" s="779"/>
      <c r="P96" s="779"/>
      <c r="Q96" s="779"/>
      <c r="R96" s="779"/>
      <c r="S96" s="779"/>
      <c r="T96" s="779"/>
      <c r="U96" s="779"/>
      <c r="V96" s="779"/>
      <c r="W96" s="779"/>
      <c r="X96" s="779"/>
      <c r="Y96" s="779"/>
      <c r="Z96" s="779"/>
      <c r="AA96" s="779"/>
      <c r="AB96" s="779"/>
      <c r="AC96" s="779"/>
      <c r="AD96" s="779"/>
      <c r="AE96" s="779"/>
      <c r="AF96" s="779"/>
      <c r="AG96" s="779"/>
      <c r="AH96" s="779"/>
      <c r="AI96" s="779"/>
      <c r="AJ96" s="780"/>
      <c r="AK96" s="461" t="str">
        <f>IF(AND($BA40=0,$BE40=0),"",IF($AI58="該当",IF(COUNTIF($F97:$F98,"✓")&gt;0,"○","×"),"×"))</f>
        <v/>
      </c>
      <c r="AL96" s="26"/>
      <c r="AY96" s="172"/>
    </row>
    <row r="97" spans="1:56" s="172" customFormat="1" ht="30.65" customHeight="1">
      <c r="A97" s="453"/>
      <c r="B97" s="781" t="s">
        <v>147</v>
      </c>
      <c r="C97" s="782"/>
      <c r="D97" s="782"/>
      <c r="E97" s="783" t="b">
        <v>0</v>
      </c>
      <c r="F97" s="522"/>
      <c r="G97" s="787" t="s">
        <v>148</v>
      </c>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8"/>
      <c r="AL97" s="361"/>
      <c r="AM97" s="791" t="s">
        <v>146</v>
      </c>
      <c r="AN97" s="792"/>
      <c r="AO97" s="792"/>
      <c r="AP97" s="792"/>
      <c r="AQ97" s="792"/>
      <c r="AR97" s="792"/>
      <c r="AS97" s="792"/>
      <c r="AT97" s="792"/>
      <c r="AU97" s="792"/>
      <c r="AV97" s="792"/>
      <c r="AW97" s="792"/>
      <c r="AX97" s="793"/>
    </row>
    <row r="98" spans="1:56" s="172" customFormat="1" ht="22.9" customHeight="1" thickBot="1">
      <c r="A98" s="453"/>
      <c r="B98" s="784"/>
      <c r="C98" s="785"/>
      <c r="D98" s="785"/>
      <c r="E98" s="786" t="b">
        <v>0</v>
      </c>
      <c r="F98" s="523"/>
      <c r="G98" s="789" t="s">
        <v>149</v>
      </c>
      <c r="H98" s="789"/>
      <c r="I98" s="789"/>
      <c r="J98" s="789"/>
      <c r="K98" s="789"/>
      <c r="L98" s="789"/>
      <c r="M98" s="789"/>
      <c r="N98" s="789"/>
      <c r="O98" s="789"/>
      <c r="P98" s="789"/>
      <c r="Q98" s="789"/>
      <c r="R98" s="789"/>
      <c r="S98" s="789"/>
      <c r="T98" s="789"/>
      <c r="U98" s="789"/>
      <c r="V98" s="789"/>
      <c r="W98" s="789"/>
      <c r="X98" s="789"/>
      <c r="Y98" s="789"/>
      <c r="Z98" s="789"/>
      <c r="AA98" s="789"/>
      <c r="AB98" s="789"/>
      <c r="AC98" s="789"/>
      <c r="AD98" s="789"/>
      <c r="AE98" s="789"/>
      <c r="AF98" s="789"/>
      <c r="AG98" s="789"/>
      <c r="AH98" s="789"/>
      <c r="AI98" s="789"/>
      <c r="AJ98" s="789"/>
      <c r="AK98" s="790"/>
      <c r="AL98" s="26"/>
      <c r="AM98" s="794"/>
      <c r="AN98" s="795"/>
      <c r="AO98" s="795"/>
      <c r="AP98" s="795"/>
      <c r="AQ98" s="795"/>
      <c r="AR98" s="795"/>
      <c r="AS98" s="795"/>
      <c r="AT98" s="795"/>
      <c r="AU98" s="795"/>
      <c r="AV98" s="795"/>
      <c r="AW98" s="795"/>
      <c r="AX98" s="796"/>
      <c r="AY98" s="453"/>
    </row>
    <row r="99" spans="1:56" s="172" customFormat="1" ht="6" customHeight="1">
      <c r="A99" s="361"/>
      <c r="B99" s="462"/>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26"/>
      <c r="AM99" s="453"/>
      <c r="AN99" s="26"/>
      <c r="AO99" s="361"/>
      <c r="AP99" s="361"/>
      <c r="AQ99" s="361"/>
      <c r="AR99" s="361"/>
      <c r="AS99" s="361"/>
      <c r="AT99" s="361"/>
      <c r="AU99" s="361"/>
      <c r="AV99" s="361"/>
      <c r="AW99" s="361"/>
      <c r="AX99" s="361"/>
      <c r="AY99" s="361"/>
      <c r="AZ99" s="23"/>
    </row>
    <row r="100" spans="1:56" s="27" customFormat="1" ht="19.899999999999999" customHeight="1">
      <c r="A100" s="55"/>
      <c r="B100" s="463" t="s">
        <v>150</v>
      </c>
      <c r="C100" s="463"/>
      <c r="D100" s="463"/>
      <c r="E100" s="463"/>
      <c r="F100" s="463"/>
      <c r="G100" s="463"/>
      <c r="H100" s="463"/>
      <c r="I100" s="463"/>
      <c r="J100" s="464"/>
      <c r="K100" s="464"/>
      <c r="L100" s="464"/>
      <c r="M100" s="464"/>
      <c r="N100" s="464"/>
      <c r="O100" s="464"/>
      <c r="P100" s="464"/>
      <c r="Q100" s="464"/>
      <c r="R100" s="464"/>
      <c r="S100" s="464"/>
      <c r="T100" s="464"/>
      <c r="U100" s="464"/>
      <c r="V100" s="464"/>
      <c r="W100" s="464"/>
      <c r="X100" s="464"/>
      <c r="Y100" s="464"/>
      <c r="Z100" s="464"/>
      <c r="AA100" s="464"/>
      <c r="AB100" s="464"/>
      <c r="AC100" s="464"/>
      <c r="AD100" s="464"/>
      <c r="AE100" s="464"/>
      <c r="AF100" s="464"/>
      <c r="AG100" s="464"/>
      <c r="AH100" s="464"/>
      <c r="AI100" s="464"/>
      <c r="AJ100" s="464"/>
      <c r="AK100" s="26"/>
      <c r="AL100" s="55"/>
      <c r="AM100" s="742"/>
      <c r="AN100" s="742"/>
      <c r="AO100" s="742"/>
      <c r="AP100" s="742"/>
      <c r="AQ100" s="742"/>
      <c r="AR100" s="742"/>
      <c r="AS100" s="742"/>
      <c r="AT100" s="742"/>
      <c r="AU100" s="742"/>
      <c r="AV100" s="742"/>
      <c r="AW100" s="742"/>
      <c r="AX100" s="742"/>
      <c r="AY100" s="742"/>
      <c r="BA100" s="743" t="s">
        <v>81</v>
      </c>
      <c r="BB100" s="743"/>
      <c r="BC100" s="743"/>
      <c r="BD100" s="743"/>
    </row>
    <row r="101" spans="1:56" ht="27.65" customHeight="1" thickBot="1">
      <c r="A101" s="454"/>
      <c r="B101" s="465" t="s">
        <v>151</v>
      </c>
      <c r="C101" s="466"/>
      <c r="D101" s="466"/>
      <c r="E101" s="466"/>
      <c r="F101" s="466"/>
      <c r="G101" s="466"/>
      <c r="H101" s="466"/>
      <c r="I101" s="466"/>
      <c r="J101" s="466"/>
      <c r="K101" s="466"/>
      <c r="L101" s="466"/>
      <c r="M101" s="466"/>
      <c r="N101" s="466"/>
      <c r="O101" s="466"/>
      <c r="P101" s="466"/>
      <c r="Q101" s="466"/>
      <c r="R101" s="466"/>
      <c r="S101" s="466"/>
      <c r="T101" s="466"/>
      <c r="U101" s="466"/>
      <c r="V101" s="466"/>
      <c r="W101" s="466"/>
      <c r="X101" s="466"/>
      <c r="Y101" s="466"/>
      <c r="Z101" s="466"/>
      <c r="AA101" s="466"/>
      <c r="AB101" s="466"/>
      <c r="AC101" s="466"/>
      <c r="AD101" s="466"/>
      <c r="AE101" s="466"/>
      <c r="AF101" s="466"/>
      <c r="AG101" s="466"/>
      <c r="AH101" s="466"/>
      <c r="AI101" s="466"/>
      <c r="AJ101" s="466"/>
      <c r="AK101" s="467"/>
      <c r="AM101" s="742"/>
      <c r="AN101" s="742"/>
      <c r="AO101" s="742"/>
      <c r="AP101" s="742"/>
      <c r="AQ101" s="742"/>
      <c r="AR101" s="742"/>
      <c r="AS101" s="742"/>
      <c r="AT101" s="742"/>
      <c r="AU101" s="742"/>
      <c r="AV101" s="742"/>
      <c r="AW101" s="742"/>
      <c r="AX101" s="742"/>
      <c r="AY101" s="742"/>
    </row>
    <row r="102" spans="1:56" ht="111" customHeight="1" thickBot="1">
      <c r="A102" s="454"/>
      <c r="B102" s="749" t="s">
        <v>2502</v>
      </c>
      <c r="C102" s="750"/>
      <c r="D102" s="750"/>
      <c r="E102" s="750"/>
      <c r="F102" s="750"/>
      <c r="G102" s="750"/>
      <c r="H102" s="750"/>
      <c r="I102" s="750"/>
      <c r="J102" s="750"/>
      <c r="K102" s="750"/>
      <c r="L102" s="750"/>
      <c r="M102" s="750"/>
      <c r="N102" s="750"/>
      <c r="O102" s="750"/>
      <c r="P102" s="750"/>
      <c r="Q102" s="750"/>
      <c r="R102" s="750"/>
      <c r="S102" s="750"/>
      <c r="T102" s="750"/>
      <c r="U102" s="750"/>
      <c r="V102" s="750"/>
      <c r="W102" s="750"/>
      <c r="X102" s="750"/>
      <c r="Y102" s="750"/>
      <c r="Z102" s="750"/>
      <c r="AA102" s="750"/>
      <c r="AB102" s="750"/>
      <c r="AC102" s="750"/>
      <c r="AD102" s="750"/>
      <c r="AE102" s="750"/>
      <c r="AF102" s="750"/>
      <c r="AG102" s="750"/>
      <c r="AH102" s="750"/>
      <c r="AI102" s="750"/>
      <c r="AJ102" s="750"/>
      <c r="AK102" s="371" t="str">
        <f>IF(H6="","",IF(AND('別紙様式2-2（個票（４、５月））'!BF12=0,'別紙様式2-3（個票（６月以降））'!BJ12=0),"",IF(AND(ISNUMBER(MATCH('別紙様式2-2（個票（４、５月））'!AJ9,{"","○"},0)),ISNUMBER(MATCH('別紙様式2-3（個票（６月以降））'!AJ9,{"","○"},0))),"○","×")))</f>
        <v/>
      </c>
      <c r="AR102" s="468"/>
    </row>
    <row r="103" spans="1:56" s="23" customFormat="1" ht="7.15" customHeight="1">
      <c r="A103" s="361"/>
      <c r="B103" s="466"/>
      <c r="C103" s="466"/>
      <c r="D103" s="466"/>
      <c r="E103" s="466"/>
      <c r="F103" s="466"/>
      <c r="G103" s="466"/>
      <c r="H103" s="466"/>
      <c r="I103" s="466"/>
      <c r="J103" s="466"/>
      <c r="K103" s="466"/>
      <c r="L103" s="466"/>
      <c r="M103" s="466"/>
      <c r="N103" s="466"/>
      <c r="O103" s="466"/>
      <c r="P103" s="466"/>
      <c r="Q103" s="466"/>
      <c r="R103" s="466"/>
      <c r="S103" s="466"/>
      <c r="T103" s="466"/>
      <c r="U103" s="466"/>
      <c r="V103" s="466"/>
      <c r="W103" s="466"/>
      <c r="X103" s="466"/>
      <c r="Y103" s="466"/>
      <c r="Z103" s="466"/>
      <c r="AA103" s="466"/>
      <c r="AB103" s="466"/>
      <c r="AC103" s="466"/>
      <c r="AD103" s="466"/>
      <c r="AE103" s="466"/>
      <c r="AF103" s="466"/>
      <c r="AG103" s="466"/>
      <c r="AH103" s="466"/>
      <c r="AI103" s="466"/>
      <c r="AJ103" s="466"/>
      <c r="AK103" s="467"/>
      <c r="AL103" s="361"/>
      <c r="AM103" s="447"/>
      <c r="AN103" s="447"/>
      <c r="AO103" s="447"/>
      <c r="AP103" s="447"/>
      <c r="AQ103" s="447"/>
      <c r="AR103" s="447"/>
      <c r="AS103" s="447"/>
      <c r="AT103" s="447"/>
      <c r="AU103" s="447"/>
      <c r="AV103" s="447"/>
      <c r="AW103" s="447"/>
      <c r="AX103" s="447"/>
      <c r="AY103" s="447"/>
      <c r="BA103" s="469"/>
      <c r="BB103" s="469"/>
      <c r="BC103" s="469"/>
      <c r="BD103" s="469"/>
    </row>
    <row r="104" spans="1:56" s="23" customFormat="1" ht="19.149999999999999" customHeight="1">
      <c r="A104" s="26"/>
      <c r="B104" s="359" t="s">
        <v>152</v>
      </c>
      <c r="C104" s="359"/>
      <c r="D104" s="359"/>
      <c r="E104" s="359"/>
      <c r="F104" s="359"/>
      <c r="G104" s="359"/>
      <c r="H104" s="359"/>
      <c r="I104" s="359"/>
      <c r="J104" s="360"/>
      <c r="K104" s="360"/>
      <c r="L104" s="360"/>
      <c r="M104" s="360"/>
      <c r="N104" s="360"/>
      <c r="O104" s="360"/>
      <c r="P104" s="360"/>
      <c r="Q104" s="360"/>
      <c r="R104" s="360"/>
      <c r="S104" s="360"/>
      <c r="T104" s="360"/>
      <c r="U104" s="360"/>
      <c r="V104" s="360"/>
      <c r="W104" s="360"/>
      <c r="X104" s="360"/>
      <c r="Y104" s="360"/>
      <c r="Z104" s="360"/>
      <c r="AA104" s="360"/>
      <c r="AB104" s="360"/>
      <c r="AC104" s="360"/>
      <c r="AD104" s="360"/>
      <c r="AE104" s="360"/>
      <c r="AF104" s="360"/>
      <c r="AG104" s="360"/>
      <c r="AH104" s="360"/>
      <c r="AI104" s="360"/>
      <c r="AJ104" s="360"/>
      <c r="AK104" s="360"/>
      <c r="AL104" s="26"/>
      <c r="AM104" s="361"/>
      <c r="AN104" s="26"/>
      <c r="AO104" s="26"/>
      <c r="AP104" s="26"/>
      <c r="AQ104" s="26"/>
      <c r="AR104" s="26"/>
      <c r="AS104" s="26"/>
      <c r="AT104" s="26"/>
      <c r="AU104" s="26"/>
      <c r="AV104" s="26"/>
      <c r="AW104" s="26"/>
      <c r="AX104" s="26"/>
      <c r="AY104" s="26"/>
      <c r="AZ104"/>
    </row>
    <row r="105" spans="1:56" ht="16.5" customHeight="1" thickBot="1">
      <c r="A105" s="361"/>
      <c r="B105" s="380" t="s">
        <v>71</v>
      </c>
      <c r="C105" s="470" t="s">
        <v>153</v>
      </c>
      <c r="D105" s="471"/>
      <c r="E105" s="471"/>
      <c r="F105" s="471"/>
      <c r="G105" s="471"/>
      <c r="H105" s="471"/>
      <c r="I105" s="471"/>
      <c r="J105" s="471"/>
      <c r="K105" s="471"/>
      <c r="L105" s="471"/>
      <c r="M105" s="471"/>
      <c r="N105" s="471"/>
      <c r="O105" s="471"/>
      <c r="P105" s="471"/>
      <c r="Q105" s="471"/>
      <c r="R105" s="471"/>
      <c r="S105" s="471"/>
      <c r="T105" s="471"/>
      <c r="U105" s="471"/>
      <c r="V105" s="471"/>
      <c r="W105" s="471"/>
      <c r="X105" s="471"/>
      <c r="Y105" s="471"/>
      <c r="Z105" s="471"/>
      <c r="AA105" s="471"/>
      <c r="AB105" s="471"/>
      <c r="AC105" s="471"/>
      <c r="AD105" s="471"/>
      <c r="AE105" s="471"/>
      <c r="AF105" s="471"/>
      <c r="AG105" s="471"/>
      <c r="AH105" s="471"/>
      <c r="AI105" s="471"/>
      <c r="AJ105" s="471"/>
      <c r="AK105" s="26"/>
      <c r="AL105" s="26"/>
      <c r="AM105" s="26"/>
      <c r="AN105" s="437"/>
      <c r="AO105" s="437"/>
      <c r="AP105" s="437"/>
      <c r="AQ105" s="437"/>
      <c r="AR105" s="437"/>
      <c r="AS105" s="437"/>
      <c r="AT105" s="437"/>
      <c r="AU105" s="437"/>
      <c r="AV105" s="437"/>
      <c r="AW105" s="437"/>
      <c r="AX105" s="437"/>
      <c r="AY105" s="437"/>
      <c r="AZ105" s="23"/>
    </row>
    <row r="106" spans="1:56" s="23" customFormat="1" ht="39.65" customHeight="1" thickBot="1">
      <c r="A106" s="361"/>
      <c r="B106" s="472" t="s">
        <v>154</v>
      </c>
      <c r="C106" s="473"/>
      <c r="D106" s="473"/>
      <c r="E106" s="473"/>
      <c r="F106" s="473"/>
      <c r="G106" s="473"/>
      <c r="H106" s="473"/>
      <c r="I106" s="473"/>
      <c r="J106" s="473"/>
      <c r="K106" s="473"/>
      <c r="L106" s="473"/>
      <c r="M106" s="473"/>
      <c r="N106" s="473"/>
      <c r="O106" s="473"/>
      <c r="P106" s="473"/>
      <c r="Q106" s="473"/>
      <c r="R106" s="473"/>
      <c r="S106" s="473"/>
      <c r="T106" s="473"/>
      <c r="U106" s="473"/>
      <c r="V106" s="473"/>
      <c r="W106" s="473"/>
      <c r="X106" s="473"/>
      <c r="Y106" s="473"/>
      <c r="Z106" s="473"/>
      <c r="AA106" s="473"/>
      <c r="AB106" s="473"/>
      <c r="AC106" s="473"/>
      <c r="AD106" s="474"/>
      <c r="AE106" s="772" t="s">
        <v>155</v>
      </c>
      <c r="AF106" s="773"/>
      <c r="AG106" s="773"/>
      <c r="AH106" s="773"/>
      <c r="AI106" s="773"/>
      <c r="AJ106" s="774"/>
      <c r="AK106" s="371" t="str">
        <f>IF(H6="", "", IF(AND(BA107=TRUE,OR(BA108=TRUE),BA109=TRUE,BA110=TRUE, BA112=TRUE, BA111=TRUE,BA113=TRUE),"○","×"))</f>
        <v/>
      </c>
      <c r="AL106" s="26"/>
      <c r="AM106" s="775" t="s">
        <v>156</v>
      </c>
      <c r="AN106" s="776"/>
      <c r="AO106" s="776"/>
      <c r="AP106" s="776"/>
      <c r="AQ106" s="776"/>
      <c r="AR106" s="776"/>
      <c r="AS106" s="776"/>
      <c r="AT106" s="776"/>
      <c r="AU106" s="776"/>
      <c r="AV106" s="776"/>
      <c r="AW106" s="776"/>
      <c r="AX106" s="776"/>
      <c r="AY106" s="777"/>
      <c r="BA106" s="475"/>
    </row>
    <row r="107" spans="1:56" s="23" customFormat="1" ht="48.75" customHeight="1">
      <c r="A107" s="361"/>
      <c r="B107" s="476"/>
      <c r="C107" s="751" t="s">
        <v>2493</v>
      </c>
      <c r="D107" s="752"/>
      <c r="E107" s="752"/>
      <c r="F107" s="752"/>
      <c r="G107" s="752"/>
      <c r="H107" s="752"/>
      <c r="I107" s="752"/>
      <c r="J107" s="752"/>
      <c r="K107" s="752"/>
      <c r="L107" s="752"/>
      <c r="M107" s="752"/>
      <c r="N107" s="752"/>
      <c r="O107" s="752"/>
      <c r="P107" s="752"/>
      <c r="Q107" s="752"/>
      <c r="R107" s="752"/>
      <c r="S107" s="752"/>
      <c r="T107" s="752"/>
      <c r="U107" s="752"/>
      <c r="V107" s="752"/>
      <c r="W107" s="752"/>
      <c r="X107" s="752"/>
      <c r="Y107" s="752"/>
      <c r="Z107" s="752"/>
      <c r="AA107" s="752"/>
      <c r="AB107" s="752"/>
      <c r="AC107" s="752"/>
      <c r="AD107" s="753"/>
      <c r="AE107" s="761" t="s">
        <v>157</v>
      </c>
      <c r="AF107" s="762"/>
      <c r="AG107" s="762"/>
      <c r="AH107" s="762"/>
      <c r="AI107" s="762"/>
      <c r="AJ107" s="762"/>
      <c r="AK107" s="778"/>
      <c r="AL107" s="26"/>
      <c r="AM107" s="361"/>
      <c r="AN107" s="395"/>
      <c r="AO107" s="395"/>
      <c r="AP107" s="395"/>
      <c r="AQ107" s="395"/>
      <c r="AR107" s="395"/>
      <c r="AS107" s="395"/>
      <c r="AT107" s="395"/>
      <c r="AU107" s="395"/>
      <c r="AV107" s="395"/>
      <c r="AW107" s="361"/>
      <c r="AX107" s="361"/>
      <c r="AY107" s="361"/>
      <c r="AZ107" s="430"/>
      <c r="BA107" s="477" t="b">
        <v>0</v>
      </c>
      <c r="BB107" s="478"/>
    </row>
    <row r="108" spans="1:56" s="23" customFormat="1" ht="37.15" customHeight="1">
      <c r="A108" s="361"/>
      <c r="B108" s="479"/>
      <c r="C108" s="751" t="s">
        <v>2472</v>
      </c>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3"/>
      <c r="AE108" s="761" t="s">
        <v>157</v>
      </c>
      <c r="AF108" s="762"/>
      <c r="AG108" s="762"/>
      <c r="AH108" s="762"/>
      <c r="AI108" s="762"/>
      <c r="AJ108" s="762"/>
      <c r="AK108" s="762"/>
      <c r="AL108" s="26"/>
      <c r="AM108" s="361"/>
      <c r="AN108" s="395"/>
      <c r="AO108" s="395"/>
      <c r="AP108" s="395"/>
      <c r="AQ108" s="395"/>
      <c r="AR108" s="395"/>
      <c r="AS108" s="395"/>
      <c r="AT108" s="395"/>
      <c r="AU108" s="395"/>
      <c r="AV108" s="395"/>
      <c r="AW108" s="361"/>
      <c r="AX108" s="361"/>
      <c r="AY108" s="361"/>
      <c r="BA108" s="421" t="b">
        <v>0</v>
      </c>
    </row>
    <row r="109" spans="1:56" s="23" customFormat="1" ht="36.65" customHeight="1">
      <c r="A109" s="361"/>
      <c r="B109" s="479"/>
      <c r="C109" s="754" t="s">
        <v>2474</v>
      </c>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5"/>
      <c r="AA109" s="755"/>
      <c r="AB109" s="755"/>
      <c r="AC109" s="755"/>
      <c r="AD109" s="756"/>
      <c r="AE109" s="761" t="s">
        <v>158</v>
      </c>
      <c r="AF109" s="762"/>
      <c r="AG109" s="762"/>
      <c r="AH109" s="762"/>
      <c r="AI109" s="762"/>
      <c r="AJ109" s="762"/>
      <c r="AK109" s="762"/>
      <c r="AL109" s="26"/>
      <c r="AM109" s="361"/>
      <c r="AN109" s="361"/>
      <c r="AO109" s="361"/>
      <c r="AP109" s="395"/>
      <c r="AQ109" s="361"/>
      <c r="AR109" s="361"/>
      <c r="AS109" s="361"/>
      <c r="AT109" s="361"/>
      <c r="AU109" s="361"/>
      <c r="AV109" s="361"/>
      <c r="AW109" s="361"/>
      <c r="AX109" s="361"/>
      <c r="AY109" s="361"/>
      <c r="BA109" s="421" t="b">
        <v>0</v>
      </c>
    </row>
    <row r="110" spans="1:56" s="23" customFormat="1" ht="28.9" customHeight="1">
      <c r="A110" s="361"/>
      <c r="B110" s="479"/>
      <c r="C110" s="754" t="s">
        <v>159</v>
      </c>
      <c r="D110" s="755"/>
      <c r="E110" s="755"/>
      <c r="F110" s="755"/>
      <c r="G110" s="755"/>
      <c r="H110" s="755"/>
      <c r="I110" s="755"/>
      <c r="J110" s="755"/>
      <c r="K110" s="755"/>
      <c r="L110" s="755"/>
      <c r="M110" s="755"/>
      <c r="N110" s="755"/>
      <c r="O110" s="755"/>
      <c r="P110" s="755"/>
      <c r="Q110" s="755"/>
      <c r="R110" s="755"/>
      <c r="S110" s="755"/>
      <c r="T110" s="755"/>
      <c r="U110" s="755"/>
      <c r="V110" s="755"/>
      <c r="W110" s="755"/>
      <c r="X110" s="755"/>
      <c r="Y110" s="755"/>
      <c r="Z110" s="755"/>
      <c r="AA110" s="755"/>
      <c r="AB110" s="755"/>
      <c r="AC110" s="755"/>
      <c r="AD110" s="756"/>
      <c r="AE110" s="759" t="s">
        <v>160</v>
      </c>
      <c r="AF110" s="760"/>
      <c r="AG110" s="760"/>
      <c r="AH110" s="760"/>
      <c r="AI110" s="760"/>
      <c r="AJ110" s="760"/>
      <c r="AK110" s="760"/>
      <c r="AL110" s="26"/>
      <c r="AM110" s="361"/>
      <c r="AN110" s="480"/>
      <c r="AO110" s="480"/>
      <c r="AP110" s="480"/>
      <c r="AQ110" s="361"/>
      <c r="AR110" s="361"/>
      <c r="AS110" s="361"/>
      <c r="AT110" s="361"/>
      <c r="AU110" s="361"/>
      <c r="AV110" s="361"/>
      <c r="AW110" s="361"/>
      <c r="AX110" s="361"/>
      <c r="AY110" s="361"/>
      <c r="BA110" s="421" t="b">
        <v>0</v>
      </c>
    </row>
    <row r="111" spans="1:56" s="23" customFormat="1" ht="22.15" customHeight="1">
      <c r="A111" s="361"/>
      <c r="B111" s="479"/>
      <c r="C111" s="754" t="s">
        <v>161</v>
      </c>
      <c r="D111" s="755"/>
      <c r="E111" s="755"/>
      <c r="F111" s="755"/>
      <c r="G111" s="755"/>
      <c r="H111" s="755"/>
      <c r="I111" s="755"/>
      <c r="J111" s="755"/>
      <c r="K111" s="755"/>
      <c r="L111" s="755"/>
      <c r="M111" s="755"/>
      <c r="N111" s="755"/>
      <c r="O111" s="755"/>
      <c r="P111" s="755"/>
      <c r="Q111" s="755"/>
      <c r="R111" s="755"/>
      <c r="S111" s="755"/>
      <c r="T111" s="755"/>
      <c r="U111" s="755"/>
      <c r="V111" s="755"/>
      <c r="W111" s="755"/>
      <c r="X111" s="755"/>
      <c r="Y111" s="755"/>
      <c r="Z111" s="755"/>
      <c r="AA111" s="755"/>
      <c r="AB111" s="755"/>
      <c r="AC111" s="755"/>
      <c r="AD111" s="756"/>
      <c r="AE111" s="761" t="s">
        <v>162</v>
      </c>
      <c r="AF111" s="762"/>
      <c r="AG111" s="762"/>
      <c r="AH111" s="762"/>
      <c r="AI111" s="762"/>
      <c r="AJ111" s="762"/>
      <c r="AK111" s="762"/>
      <c r="AL111" s="26"/>
      <c r="AM111" s="361"/>
      <c r="AN111" s="480"/>
      <c r="AO111" s="480"/>
      <c r="AP111" s="480"/>
      <c r="AQ111" s="361"/>
      <c r="AR111" s="361"/>
      <c r="AS111" s="361"/>
      <c r="AT111" s="361"/>
      <c r="AU111" s="361"/>
      <c r="AV111" s="361"/>
      <c r="AW111" s="361"/>
      <c r="AX111" s="361"/>
      <c r="AY111" s="361"/>
      <c r="BA111" s="421" t="b">
        <v>0</v>
      </c>
    </row>
    <row r="112" spans="1:56" s="23" customFormat="1" ht="22.15" customHeight="1">
      <c r="A112" s="361"/>
      <c r="B112" s="481"/>
      <c r="C112" s="767" t="s">
        <v>163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8"/>
      <c r="AA112" s="768"/>
      <c r="AB112" s="768"/>
      <c r="AC112" s="768"/>
      <c r="AD112" s="769"/>
      <c r="AE112" s="757" t="s">
        <v>164</v>
      </c>
      <c r="AF112" s="758"/>
      <c r="AG112" s="758"/>
      <c r="AH112" s="758"/>
      <c r="AI112" s="758"/>
      <c r="AJ112" s="758"/>
      <c r="AK112" s="758"/>
      <c r="AL112" s="26"/>
      <c r="AM112" s="361"/>
      <c r="AN112" s="361"/>
      <c r="AO112" s="361"/>
      <c r="AP112" s="361"/>
      <c r="AQ112" s="361"/>
      <c r="AR112" s="361"/>
      <c r="AS112" s="361"/>
      <c r="AT112" s="361"/>
      <c r="AU112" s="361"/>
      <c r="AV112" s="361"/>
      <c r="AW112" s="361"/>
      <c r="AX112" s="361"/>
      <c r="AY112" s="361"/>
      <c r="BA112" s="421" t="b">
        <v>0</v>
      </c>
    </row>
    <row r="113" spans="1:53" s="23" customFormat="1" ht="25.5" customHeight="1" thickBot="1">
      <c r="A113" s="361"/>
      <c r="B113" s="482"/>
      <c r="C113" s="754" t="s">
        <v>165</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6"/>
      <c r="AE113" s="759" t="s">
        <v>160</v>
      </c>
      <c r="AF113" s="760"/>
      <c r="AG113" s="760"/>
      <c r="AH113" s="760"/>
      <c r="AI113" s="760"/>
      <c r="AJ113" s="760"/>
      <c r="AK113" s="760"/>
      <c r="AL113" s="26"/>
      <c r="AM113" s="361"/>
      <c r="AN113" s="361"/>
      <c r="AO113" s="361"/>
      <c r="AP113" s="361"/>
      <c r="AQ113" s="361"/>
      <c r="AR113" s="361"/>
      <c r="AS113" s="361"/>
      <c r="AT113" s="361"/>
      <c r="AU113" s="361"/>
      <c r="AV113" s="361"/>
      <c r="AW113" s="361"/>
      <c r="AX113" s="361"/>
      <c r="AY113" s="361"/>
      <c r="BA113" s="421" t="b">
        <v>0</v>
      </c>
    </row>
    <row r="114" spans="1:53" s="23" customFormat="1" ht="4.9000000000000004" customHeight="1">
      <c r="A114" s="361"/>
      <c r="B114" s="471"/>
      <c r="C114" s="470"/>
      <c r="D114" s="471"/>
      <c r="E114" s="471"/>
      <c r="F114" s="471"/>
      <c r="G114" s="471"/>
      <c r="H114" s="471"/>
      <c r="I114" s="471"/>
      <c r="J114" s="471"/>
      <c r="K114" s="471"/>
      <c r="L114" s="471"/>
      <c r="M114" s="471"/>
      <c r="N114" s="471"/>
      <c r="O114" s="471"/>
      <c r="P114" s="471"/>
      <c r="Q114" s="471"/>
      <c r="R114" s="471"/>
      <c r="S114" s="471"/>
      <c r="T114" s="471"/>
      <c r="U114" s="471"/>
      <c r="V114" s="471"/>
      <c r="W114" s="471"/>
      <c r="X114" s="471"/>
      <c r="Y114" s="471"/>
      <c r="Z114" s="470"/>
      <c r="AA114" s="470"/>
      <c r="AB114" s="470"/>
      <c r="AC114" s="470"/>
      <c r="AD114" s="470"/>
      <c r="AE114" s="470"/>
      <c r="AF114" s="470"/>
      <c r="AG114" s="470"/>
      <c r="AH114" s="470"/>
      <c r="AI114" s="471"/>
      <c r="AJ114" s="471"/>
      <c r="AK114" s="26"/>
      <c r="AL114" s="26"/>
      <c r="AM114" s="361"/>
      <c r="AN114" s="361"/>
      <c r="AO114" s="361"/>
      <c r="AP114" s="361"/>
      <c r="AQ114" s="361"/>
      <c r="AR114" s="361"/>
      <c r="AS114" s="361"/>
      <c r="AT114" s="361"/>
      <c r="AU114" s="361"/>
      <c r="AV114" s="361"/>
      <c r="AW114" s="361"/>
      <c r="AX114" s="361"/>
      <c r="AY114" s="361"/>
    </row>
    <row r="115" spans="1:53" s="23" customFormat="1" ht="12" customHeight="1">
      <c r="A115" s="361"/>
      <c r="B115" s="483" t="s">
        <v>166</v>
      </c>
      <c r="C115" s="484" t="s">
        <v>167</v>
      </c>
      <c r="D115" s="484"/>
      <c r="E115" s="484"/>
      <c r="F115" s="484"/>
      <c r="G115" s="484"/>
      <c r="H115" s="484"/>
      <c r="I115" s="484"/>
      <c r="J115" s="484"/>
      <c r="K115" s="484"/>
      <c r="L115" s="484"/>
      <c r="M115" s="484"/>
      <c r="N115" s="484"/>
      <c r="O115" s="484"/>
      <c r="P115" s="484"/>
      <c r="Q115" s="484"/>
      <c r="R115" s="484"/>
      <c r="S115" s="484"/>
      <c r="T115" s="484"/>
      <c r="U115" s="484"/>
      <c r="V115" s="484"/>
      <c r="W115" s="484"/>
      <c r="X115" s="484"/>
      <c r="Y115" s="484"/>
      <c r="Z115" s="484"/>
      <c r="AA115" s="484"/>
      <c r="AB115" s="484"/>
      <c r="AC115" s="484"/>
      <c r="AD115" s="484"/>
      <c r="AE115" s="484"/>
      <c r="AF115" s="484"/>
      <c r="AG115" s="484"/>
      <c r="AH115" s="484"/>
      <c r="AI115" s="484"/>
      <c r="AJ115" s="484"/>
      <c r="AK115" s="374"/>
      <c r="AL115" s="26"/>
      <c r="AM115" s="361"/>
      <c r="AN115" s="361"/>
      <c r="AO115" s="361"/>
      <c r="AP115" s="361"/>
      <c r="AQ115" s="361"/>
      <c r="AR115" s="361"/>
      <c r="AS115" s="361"/>
      <c r="AT115" s="361"/>
      <c r="AU115" s="361"/>
      <c r="AV115" s="361"/>
      <c r="AW115" s="361"/>
      <c r="AX115" s="361"/>
      <c r="AY115" s="361"/>
    </row>
    <row r="116" spans="1:53" s="23" customFormat="1" ht="24.65" customHeight="1">
      <c r="A116" s="361"/>
      <c r="B116" s="483" t="s">
        <v>166</v>
      </c>
      <c r="C116" s="770" t="s">
        <v>168</v>
      </c>
      <c r="D116" s="770"/>
      <c r="E116" s="770"/>
      <c r="F116" s="770"/>
      <c r="G116" s="770"/>
      <c r="H116" s="770"/>
      <c r="I116" s="770"/>
      <c r="J116" s="770"/>
      <c r="K116" s="770"/>
      <c r="L116" s="770"/>
      <c r="M116" s="770"/>
      <c r="N116" s="770"/>
      <c r="O116" s="770"/>
      <c r="P116" s="770"/>
      <c r="Q116" s="770"/>
      <c r="R116" s="770"/>
      <c r="S116" s="770"/>
      <c r="T116" s="770"/>
      <c r="U116" s="770"/>
      <c r="V116" s="770"/>
      <c r="W116" s="770"/>
      <c r="X116" s="770"/>
      <c r="Y116" s="770"/>
      <c r="Z116" s="770"/>
      <c r="AA116" s="770"/>
      <c r="AB116" s="770"/>
      <c r="AC116" s="770"/>
      <c r="AD116" s="770"/>
      <c r="AE116" s="770"/>
      <c r="AF116" s="770"/>
      <c r="AG116" s="770"/>
      <c r="AH116" s="770"/>
      <c r="AI116" s="770"/>
      <c r="AJ116" s="770"/>
      <c r="AK116" s="770"/>
      <c r="AL116" s="26"/>
      <c r="AM116" s="361"/>
      <c r="AN116" s="361"/>
      <c r="AO116" s="361"/>
      <c r="AP116" s="361"/>
      <c r="AQ116" s="361"/>
      <c r="AR116" s="361"/>
      <c r="AS116" s="361"/>
      <c r="AT116" s="361"/>
      <c r="AU116" s="361"/>
      <c r="AV116" s="361"/>
      <c r="AW116" s="361"/>
      <c r="AX116" s="361"/>
      <c r="AY116" s="361"/>
    </row>
    <row r="117" spans="1:53" s="23" customFormat="1" ht="5.5" customHeight="1" thickBot="1">
      <c r="A117" s="361"/>
      <c r="B117" s="483"/>
      <c r="C117" s="485"/>
      <c r="D117" s="485"/>
      <c r="E117" s="485"/>
      <c r="F117" s="485"/>
      <c r="G117" s="485"/>
      <c r="H117" s="485"/>
      <c r="I117" s="485"/>
      <c r="J117" s="485"/>
      <c r="K117" s="485"/>
      <c r="L117" s="485"/>
      <c r="M117" s="485"/>
      <c r="N117" s="485"/>
      <c r="O117" s="485"/>
      <c r="P117" s="485"/>
      <c r="Q117" s="485"/>
      <c r="R117" s="485"/>
      <c r="S117" s="485"/>
      <c r="T117" s="485"/>
      <c r="U117" s="485"/>
      <c r="V117" s="485"/>
      <c r="W117" s="485"/>
      <c r="X117" s="485"/>
      <c r="Y117" s="485"/>
      <c r="Z117" s="485"/>
      <c r="AA117" s="485"/>
      <c r="AB117" s="485"/>
      <c r="AC117" s="485"/>
      <c r="AD117" s="485"/>
      <c r="AE117" s="485"/>
      <c r="AF117" s="485"/>
      <c r="AG117" s="485"/>
      <c r="AH117" s="485"/>
      <c r="AI117" s="485"/>
      <c r="AJ117" s="485"/>
      <c r="AK117" s="485"/>
      <c r="AL117" s="26"/>
      <c r="AM117" s="361"/>
      <c r="AN117" s="361"/>
      <c r="AO117" s="361"/>
      <c r="AP117" s="361"/>
      <c r="AQ117" s="361"/>
      <c r="AR117" s="361"/>
      <c r="AS117" s="361"/>
      <c r="AT117" s="361"/>
      <c r="AU117" s="361"/>
      <c r="AV117" s="361"/>
      <c r="AW117" s="361"/>
      <c r="AX117" s="361"/>
      <c r="AY117" s="361"/>
    </row>
    <row r="118" spans="1:53" s="23" customFormat="1" ht="15.65" customHeight="1" thickBot="1">
      <c r="A118" s="361"/>
      <c r="B118" s="486"/>
      <c r="C118" s="487"/>
      <c r="D118" s="487"/>
      <c r="E118" s="487"/>
      <c r="F118" s="487"/>
      <c r="G118" s="487"/>
      <c r="H118" s="487"/>
      <c r="I118" s="487"/>
      <c r="J118" s="487"/>
      <c r="K118" s="487"/>
      <c r="L118" s="487"/>
      <c r="M118" s="487"/>
      <c r="N118" s="487"/>
      <c r="O118" s="487"/>
      <c r="P118" s="487"/>
      <c r="Q118" s="487"/>
      <c r="R118" s="487"/>
      <c r="S118" s="487"/>
      <c r="T118" s="487"/>
      <c r="U118" s="487"/>
      <c r="V118" s="487"/>
      <c r="W118" s="487"/>
      <c r="X118" s="487"/>
      <c r="Y118" s="487"/>
      <c r="Z118" s="487"/>
      <c r="AA118" s="487"/>
      <c r="AB118" s="487"/>
      <c r="AC118" s="487"/>
      <c r="AD118" s="487"/>
      <c r="AE118" s="487"/>
      <c r="AF118" s="487"/>
      <c r="AG118" s="487"/>
      <c r="AH118" s="487"/>
      <c r="AI118" s="487"/>
      <c r="AJ118" s="487"/>
      <c r="AK118" s="461" t="str">
        <f>IF(H6="", "", IF(COUNTA(E122,H122,K122)=3,"○","×"))</f>
        <v/>
      </c>
      <c r="AL118" s="26"/>
      <c r="AM118" s="361"/>
      <c r="AN118" s="361"/>
      <c r="AO118" s="361"/>
      <c r="AP118" s="361"/>
      <c r="AQ118" s="361"/>
      <c r="AR118" s="361"/>
      <c r="AS118" s="361"/>
      <c r="AT118" s="361"/>
      <c r="AU118" s="361"/>
      <c r="AV118" s="361"/>
      <c r="AW118" s="361"/>
      <c r="AX118" s="361"/>
      <c r="AY118" s="361"/>
    </row>
    <row r="119" spans="1:53" s="23" customFormat="1" ht="4.1500000000000004" customHeight="1">
      <c r="A119" s="361"/>
      <c r="B119" s="488"/>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c r="AF119" s="489"/>
      <c r="AG119" s="489"/>
      <c r="AH119" s="489"/>
      <c r="AI119" s="489"/>
      <c r="AJ119" s="489"/>
      <c r="AK119" s="490"/>
      <c r="AL119" s="26"/>
      <c r="AM119" s="361"/>
      <c r="AN119" s="361"/>
      <c r="AO119" s="361"/>
      <c r="AP119" s="361"/>
      <c r="AQ119" s="361"/>
      <c r="AR119" s="361"/>
      <c r="AS119" s="361"/>
      <c r="AT119" s="361"/>
      <c r="AU119" s="361"/>
      <c r="AV119" s="361"/>
      <c r="AW119" s="361"/>
      <c r="AX119" s="361"/>
      <c r="AY119" s="361"/>
    </row>
    <row r="120" spans="1:53" s="23" customFormat="1" ht="30" customHeight="1">
      <c r="A120" s="361"/>
      <c r="B120" s="491"/>
      <c r="C120" s="771" t="s">
        <v>169</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1"/>
      <c r="AE120" s="771"/>
      <c r="AF120" s="771"/>
      <c r="AG120" s="771"/>
      <c r="AH120" s="771"/>
      <c r="AI120" s="771"/>
      <c r="AJ120" s="771"/>
      <c r="AK120" s="492"/>
      <c r="AL120" s="471"/>
      <c r="AM120" s="26"/>
      <c r="AN120" s="361"/>
      <c r="AO120" s="361"/>
      <c r="AP120" s="361"/>
      <c r="AQ120" s="361"/>
      <c r="AR120" s="361"/>
      <c r="AS120" s="361"/>
      <c r="AT120" s="361"/>
      <c r="AU120" s="361"/>
      <c r="AV120" s="361"/>
      <c r="AW120" s="361"/>
      <c r="AX120" s="361"/>
      <c r="AY120" s="361"/>
    </row>
    <row r="121" spans="1:53" s="23" customFormat="1" ht="3.65" customHeight="1">
      <c r="A121" s="361"/>
      <c r="B121" s="491"/>
      <c r="C121" s="470"/>
      <c r="D121" s="471"/>
      <c r="E121" s="471"/>
      <c r="F121" s="471"/>
      <c r="G121" s="471"/>
      <c r="H121" s="471"/>
      <c r="I121" s="471"/>
      <c r="J121" s="471"/>
      <c r="K121" s="471"/>
      <c r="L121" s="471"/>
      <c r="M121" s="471"/>
      <c r="N121" s="471"/>
      <c r="O121" s="471"/>
      <c r="P121" s="471"/>
      <c r="Q121" s="471"/>
      <c r="R121" s="471"/>
      <c r="S121" s="471"/>
      <c r="T121" s="471"/>
      <c r="U121" s="471"/>
      <c r="V121" s="471"/>
      <c r="W121" s="471"/>
      <c r="X121" s="471"/>
      <c r="Y121" s="471"/>
      <c r="Z121" s="471"/>
      <c r="AA121" s="471"/>
      <c r="AB121" s="471"/>
      <c r="AC121" s="471"/>
      <c r="AD121" s="471"/>
      <c r="AE121" s="471"/>
      <c r="AF121" s="471"/>
      <c r="AG121" s="471"/>
      <c r="AH121" s="471"/>
      <c r="AI121" s="471"/>
      <c r="AJ121" s="471"/>
      <c r="AK121" s="492"/>
      <c r="AL121" s="26"/>
      <c r="AM121" s="26"/>
      <c r="AN121" s="361"/>
      <c r="AO121" s="361"/>
      <c r="AP121" s="361"/>
      <c r="AQ121" s="361"/>
      <c r="AR121" s="361"/>
      <c r="AS121" s="361"/>
      <c r="AT121" s="361"/>
      <c r="AU121" s="361"/>
      <c r="AV121" s="361"/>
      <c r="AW121" s="361"/>
      <c r="AX121" s="361"/>
      <c r="AY121" s="361"/>
    </row>
    <row r="122" spans="1:53" s="23" customFormat="1" ht="15" customHeight="1">
      <c r="A122" s="361"/>
      <c r="B122" s="493"/>
      <c r="C122" s="494" t="s">
        <v>170</v>
      </c>
      <c r="D122" s="494"/>
      <c r="E122" s="763"/>
      <c r="F122" s="764"/>
      <c r="G122" s="494" t="s">
        <v>171</v>
      </c>
      <c r="H122" s="763"/>
      <c r="I122" s="764"/>
      <c r="J122" s="494" t="s">
        <v>172</v>
      </c>
      <c r="K122" s="763"/>
      <c r="L122" s="764"/>
      <c r="M122" s="494" t="s">
        <v>173</v>
      </c>
      <c r="N122" s="471"/>
      <c r="O122" s="765" t="s">
        <v>58</v>
      </c>
      <c r="P122" s="765"/>
      <c r="Q122" s="765"/>
      <c r="R122" s="766" t="str">
        <f>IF(H6="","",H6)</f>
        <v/>
      </c>
      <c r="S122" s="766"/>
      <c r="T122" s="766"/>
      <c r="U122" s="766"/>
      <c r="V122" s="766"/>
      <c r="W122" s="766"/>
      <c r="X122" s="766"/>
      <c r="Y122" s="766"/>
      <c r="Z122" s="766"/>
      <c r="AA122" s="766"/>
      <c r="AB122" s="766"/>
      <c r="AC122" s="766"/>
      <c r="AD122" s="766"/>
      <c r="AE122" s="766"/>
      <c r="AF122" s="766"/>
      <c r="AG122" s="766"/>
      <c r="AH122" s="766"/>
      <c r="AI122" s="766"/>
      <c r="AJ122" s="495"/>
      <c r="AK122" s="496"/>
      <c r="AL122" s="497"/>
      <c r="AM122" s="26"/>
      <c r="AN122" s="26"/>
      <c r="AO122" s="26"/>
      <c r="AP122" s="26"/>
      <c r="AQ122" s="26"/>
      <c r="AR122" s="26"/>
      <c r="AS122" s="26"/>
      <c r="AT122" s="26"/>
      <c r="AU122" s="26"/>
      <c r="AV122" s="26"/>
      <c r="AW122" s="381"/>
      <c r="AX122" s="26"/>
      <c r="AY122" s="26"/>
      <c r="AZ122"/>
    </row>
    <row r="123" spans="1:53" s="23" customFormat="1" ht="14.5" customHeight="1">
      <c r="A123" s="26"/>
      <c r="B123" s="493"/>
      <c r="C123" s="498"/>
      <c r="D123" s="494"/>
      <c r="E123" s="494"/>
      <c r="F123" s="494"/>
      <c r="G123" s="494"/>
      <c r="H123" s="494"/>
      <c r="I123" s="494"/>
      <c r="J123" s="494"/>
      <c r="K123" s="494"/>
      <c r="L123" s="494"/>
      <c r="M123" s="494"/>
      <c r="N123" s="738" t="s">
        <v>174</v>
      </c>
      <c r="O123" s="738"/>
      <c r="P123" s="738"/>
      <c r="Q123" s="738"/>
      <c r="R123" s="739" t="s">
        <v>19</v>
      </c>
      <c r="S123" s="739"/>
      <c r="T123" s="740" t="str">
        <f>IF(基本情報入力シート!L20="", "", 基本情報入力シート!L20)</f>
        <v/>
      </c>
      <c r="U123" s="740"/>
      <c r="V123" s="740"/>
      <c r="W123" s="740"/>
      <c r="X123" s="740"/>
      <c r="Y123" s="741" t="s">
        <v>20</v>
      </c>
      <c r="Z123" s="741"/>
      <c r="AA123" s="740" t="str">
        <f>IF(基本情報入力シート!L21="", "", 基本情報入力シート!L21)</f>
        <v/>
      </c>
      <c r="AB123" s="740"/>
      <c r="AC123" s="740"/>
      <c r="AD123" s="740"/>
      <c r="AE123" s="740"/>
      <c r="AF123" s="740"/>
      <c r="AG123" s="740"/>
      <c r="AH123" s="740"/>
      <c r="AI123" s="740"/>
      <c r="AJ123" s="498"/>
      <c r="AK123" s="499"/>
      <c r="AL123" s="497"/>
      <c r="AM123" s="497"/>
      <c r="AN123" s="26"/>
      <c r="AO123" s="26"/>
      <c r="AP123" s="26"/>
      <c r="AQ123" s="26"/>
      <c r="AR123" s="26"/>
      <c r="AS123" s="26"/>
      <c r="AT123" s="26"/>
      <c r="AU123" s="26"/>
      <c r="AV123" s="26"/>
      <c r="AW123" s="381"/>
      <c r="AX123" s="26"/>
      <c r="AY123" s="26"/>
      <c r="AZ123"/>
      <c r="BA123"/>
    </row>
    <row r="124" spans="1:53" ht="5.5" customHeight="1" thickBot="1">
      <c r="A124" s="26"/>
      <c r="B124" s="500"/>
      <c r="C124" s="501"/>
      <c r="D124" s="502"/>
      <c r="E124" s="502"/>
      <c r="F124" s="502"/>
      <c r="G124" s="502"/>
      <c r="H124" s="502"/>
      <c r="I124" s="502"/>
      <c r="J124" s="502"/>
      <c r="K124" s="502"/>
      <c r="L124" s="502"/>
      <c r="M124" s="502"/>
      <c r="N124" s="502"/>
      <c r="O124" s="502"/>
      <c r="P124" s="502"/>
      <c r="Q124" s="501"/>
      <c r="R124" s="502"/>
      <c r="S124" s="503"/>
      <c r="T124" s="503"/>
      <c r="U124" s="503"/>
      <c r="V124" s="503"/>
      <c r="W124" s="503"/>
      <c r="X124" s="504"/>
      <c r="Y124" s="504"/>
      <c r="Z124" s="504"/>
      <c r="AA124" s="504"/>
      <c r="AB124" s="504"/>
      <c r="AC124" s="504"/>
      <c r="AD124" s="504"/>
      <c r="AE124" s="504"/>
      <c r="AF124" s="504"/>
      <c r="AG124" s="504"/>
      <c r="AH124" s="504"/>
      <c r="AI124" s="504"/>
      <c r="AJ124" s="505"/>
      <c r="AK124" s="506"/>
      <c r="AL124" s="497"/>
      <c r="AM124" s="497"/>
      <c r="AN124" s="26"/>
      <c r="AO124" s="26"/>
      <c r="AP124" s="26"/>
      <c r="AQ124" s="26"/>
      <c r="AR124" s="26"/>
      <c r="AS124" s="26"/>
      <c r="AT124" s="26"/>
      <c r="AU124" s="26"/>
      <c r="AV124" s="26"/>
      <c r="AW124" s="381"/>
      <c r="AX124" s="26"/>
      <c r="AY124" s="26"/>
    </row>
    <row r="125" spans="1:53" ht="1.9" customHeight="1">
      <c r="A125" s="26"/>
      <c r="B125" s="507"/>
      <c r="C125" s="497"/>
      <c r="D125" s="507"/>
      <c r="E125" s="507"/>
      <c r="F125" s="507"/>
      <c r="G125" s="507"/>
      <c r="H125" s="507"/>
      <c r="I125" s="507"/>
      <c r="J125" s="507"/>
      <c r="K125" s="507"/>
      <c r="L125" s="507"/>
      <c r="M125" s="507"/>
      <c r="N125" s="507"/>
      <c r="O125" s="507"/>
      <c r="P125" s="507"/>
      <c r="Q125" s="497"/>
      <c r="R125" s="507"/>
      <c r="S125" s="508"/>
      <c r="T125" s="508"/>
      <c r="U125" s="508"/>
      <c r="V125" s="508"/>
      <c r="W125" s="508"/>
      <c r="X125" s="509"/>
      <c r="Y125" s="509"/>
      <c r="Z125" s="509"/>
      <c r="AA125" s="509"/>
      <c r="AB125" s="509"/>
      <c r="AC125" s="509"/>
      <c r="AD125" s="509"/>
      <c r="AE125" s="509"/>
      <c r="AF125" s="509"/>
      <c r="AG125" s="509"/>
      <c r="AH125" s="509"/>
      <c r="AI125" s="509"/>
      <c r="AJ125" s="510"/>
      <c r="AK125" s="497"/>
      <c r="AL125" s="497"/>
      <c r="AM125" s="497"/>
      <c r="AN125" s="26"/>
      <c r="AO125" s="26"/>
      <c r="AP125" s="26"/>
      <c r="AQ125" s="26"/>
      <c r="AR125" s="26"/>
      <c r="AS125" s="26"/>
      <c r="AT125" s="26"/>
      <c r="AU125" s="26"/>
      <c r="AV125" s="26"/>
      <c r="AW125" s="381"/>
      <c r="AX125" s="26"/>
      <c r="AY125" s="26"/>
    </row>
    <row r="126" spans="1:53" ht="15.65" customHeight="1">
      <c r="A126" s="361"/>
      <c r="B126" s="511" t="s">
        <v>175</v>
      </c>
      <c r="C126" s="507"/>
      <c r="D126" s="361"/>
      <c r="E126" s="361"/>
      <c r="F126" s="359" t="s">
        <v>176</v>
      </c>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497"/>
      <c r="AN126" s="361"/>
      <c r="AO126" s="361"/>
      <c r="AP126" s="361"/>
      <c r="AQ126" s="361"/>
      <c r="AR126" s="361"/>
      <c r="AS126" s="361"/>
      <c r="AT126" s="361"/>
      <c r="AU126" s="361"/>
      <c r="AV126" s="361"/>
      <c r="AW126" s="361"/>
      <c r="AX126" s="361"/>
      <c r="AY126" s="361"/>
      <c r="AZ126" s="23"/>
    </row>
    <row r="127" spans="1:53" s="23" customFormat="1" ht="15" customHeight="1">
      <c r="A127" s="26"/>
      <c r="B127" s="380" t="s">
        <v>71</v>
      </c>
      <c r="C127" s="374" t="s">
        <v>177</v>
      </c>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row>
    <row r="128" spans="1:53" ht="12.75" customHeight="1">
      <c r="A128" s="375"/>
      <c r="B128" s="380" t="s">
        <v>166</v>
      </c>
      <c r="C128" s="374" t="s">
        <v>178</v>
      </c>
      <c r="D128" s="375"/>
      <c r="E128" s="375"/>
      <c r="F128" s="375"/>
      <c r="G128" s="375"/>
      <c r="H128" s="375"/>
      <c r="I128" s="375"/>
      <c r="J128" s="375"/>
      <c r="K128" s="375"/>
      <c r="L128" s="375"/>
      <c r="M128" s="375"/>
      <c r="N128" s="375"/>
      <c r="O128" s="375"/>
      <c r="P128" s="375"/>
      <c r="Q128" s="375"/>
      <c r="R128" s="375"/>
      <c r="S128" s="375"/>
      <c r="T128" s="375"/>
      <c r="U128" s="375"/>
      <c r="V128" s="375"/>
      <c r="W128" s="375"/>
      <c r="X128" s="375"/>
      <c r="Y128" s="375"/>
      <c r="Z128" s="375"/>
      <c r="AA128" s="375"/>
      <c r="AB128" s="375"/>
      <c r="AC128" s="375"/>
      <c r="AD128" s="375"/>
      <c r="AE128" s="375"/>
      <c r="AF128" s="375"/>
      <c r="AG128" s="375"/>
      <c r="AH128" s="375"/>
      <c r="AI128" s="375"/>
      <c r="AJ128" s="375"/>
      <c r="AK128" s="375"/>
      <c r="AL128" s="375"/>
      <c r="AM128" s="26"/>
      <c r="AN128" s="375"/>
      <c r="AO128" s="375"/>
      <c r="AP128" s="375"/>
      <c r="AQ128" s="375"/>
      <c r="AR128" s="375"/>
      <c r="AS128" s="375"/>
      <c r="AT128" s="375"/>
      <c r="AU128" s="375"/>
      <c r="AV128" s="375"/>
      <c r="AW128" s="375"/>
      <c r="AX128" s="375"/>
      <c r="AY128" s="375"/>
      <c r="AZ128" s="174"/>
    </row>
    <row r="129" spans="1:38" s="174" customFormat="1" ht="4.1500000000000004" customHeight="1">
      <c r="A129" s="26"/>
      <c r="B129" s="359"/>
      <c r="C129" s="507"/>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row>
    <row r="130" spans="1:38" ht="10.9" customHeight="1">
      <c r="A130" s="26"/>
      <c r="B130" s="720" t="s">
        <v>179</v>
      </c>
      <c r="C130" s="721"/>
      <c r="D130" s="721"/>
      <c r="E130" s="721"/>
      <c r="F130" s="721"/>
      <c r="G130" s="721"/>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2"/>
      <c r="AL130" s="26"/>
    </row>
    <row r="131" spans="1:38">
      <c r="A131" s="26"/>
      <c r="B131" s="729" t="s">
        <v>2473</v>
      </c>
      <c r="C131" s="730"/>
      <c r="D131" s="730"/>
      <c r="E131" s="730"/>
      <c r="F131" s="730"/>
      <c r="G131" s="730"/>
      <c r="H131" s="730"/>
      <c r="I131" s="730"/>
      <c r="J131" s="730"/>
      <c r="K131" s="730"/>
      <c r="L131" s="730"/>
      <c r="M131" s="730"/>
      <c r="N131" s="730"/>
      <c r="O131" s="730"/>
      <c r="P131" s="730"/>
      <c r="Q131" s="730"/>
      <c r="R131" s="730"/>
      <c r="S131" s="730"/>
      <c r="T131" s="730"/>
      <c r="U131" s="730"/>
      <c r="V131" s="730"/>
      <c r="W131" s="730"/>
      <c r="X131" s="730"/>
      <c r="Y131" s="730"/>
      <c r="Z131" s="730"/>
      <c r="AA131" s="730"/>
      <c r="AB131" s="730"/>
      <c r="AC131" s="730"/>
      <c r="AD131" s="730"/>
      <c r="AE131" s="730"/>
      <c r="AF131" s="730"/>
      <c r="AG131" s="730"/>
      <c r="AH131" s="730"/>
      <c r="AI131" s="730"/>
      <c r="AJ131" s="731"/>
      <c r="AK131" s="512" t="str">
        <f>Y17</f>
        <v/>
      </c>
      <c r="AL131" s="26"/>
    </row>
    <row r="132" spans="1:38">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row>
    <row r="133" spans="1:38" ht="13.15" customHeight="1">
      <c r="A133" s="453"/>
      <c r="B133" s="720" t="s">
        <v>180</v>
      </c>
      <c r="C133" s="721"/>
      <c r="D133" s="721"/>
      <c r="E133" s="721"/>
      <c r="F133" s="721"/>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2"/>
      <c r="AL133" s="26"/>
    </row>
    <row r="134" spans="1:38" s="172" customFormat="1" ht="15" customHeight="1">
      <c r="A134" s="453"/>
      <c r="B134" s="513" t="s">
        <v>181</v>
      </c>
      <c r="C134" s="714" t="s">
        <v>182</v>
      </c>
      <c r="D134" s="715"/>
      <c r="E134" s="715"/>
      <c r="F134" s="715"/>
      <c r="G134" s="715"/>
      <c r="H134" s="715"/>
      <c r="I134" s="716"/>
      <c r="J134" s="747" t="s">
        <v>183</v>
      </c>
      <c r="K134" s="747"/>
      <c r="L134" s="747"/>
      <c r="M134" s="747"/>
      <c r="N134" s="747"/>
      <c r="O134" s="747"/>
      <c r="P134" s="747"/>
      <c r="Q134" s="747"/>
      <c r="R134" s="747"/>
      <c r="S134" s="747"/>
      <c r="T134" s="747"/>
      <c r="U134" s="747"/>
      <c r="V134" s="747"/>
      <c r="W134" s="747"/>
      <c r="X134" s="747"/>
      <c r="Y134" s="747"/>
      <c r="Z134" s="747"/>
      <c r="AA134" s="747"/>
      <c r="AB134" s="747"/>
      <c r="AC134" s="747"/>
      <c r="AD134" s="747"/>
      <c r="AE134" s="747"/>
      <c r="AF134" s="747"/>
      <c r="AG134" s="747"/>
      <c r="AH134" s="747"/>
      <c r="AI134" s="747"/>
      <c r="AJ134" s="748"/>
      <c r="AK134" s="512" t="str">
        <f>IF(H6="", "",IF(AND(AK24="○", AB25="○"), "○", "×"))</f>
        <v/>
      </c>
      <c r="AL134" s="26"/>
    </row>
    <row r="135" spans="1:38" s="172" customFormat="1" ht="25.9" customHeight="1">
      <c r="A135" s="453"/>
      <c r="B135" s="513" t="s">
        <v>184</v>
      </c>
      <c r="C135" s="717" t="s">
        <v>185</v>
      </c>
      <c r="D135" s="718"/>
      <c r="E135" s="718"/>
      <c r="F135" s="718"/>
      <c r="G135" s="718"/>
      <c r="H135" s="718"/>
      <c r="I135" s="719"/>
      <c r="J135" s="745" t="s">
        <v>186</v>
      </c>
      <c r="K135" s="745"/>
      <c r="L135" s="745"/>
      <c r="M135" s="745"/>
      <c r="N135" s="745"/>
      <c r="O135" s="745"/>
      <c r="P135" s="745"/>
      <c r="Q135" s="745"/>
      <c r="R135" s="745"/>
      <c r="S135" s="745"/>
      <c r="T135" s="745"/>
      <c r="U135" s="745"/>
      <c r="V135" s="745"/>
      <c r="W135" s="745"/>
      <c r="X135" s="745"/>
      <c r="Y135" s="745"/>
      <c r="Z135" s="745"/>
      <c r="AA135" s="745"/>
      <c r="AB135" s="745"/>
      <c r="AC135" s="745"/>
      <c r="AD135" s="745"/>
      <c r="AE135" s="745"/>
      <c r="AF135" s="745"/>
      <c r="AG135" s="745"/>
      <c r="AH135" s="745"/>
      <c r="AI135" s="745"/>
      <c r="AJ135" s="746"/>
      <c r="AK135" s="512" t="str">
        <f>IF(H6="","",IF(OR(AK32="○",AND(AK32="×",AK33="✓")),"○","×"))</f>
        <v/>
      </c>
      <c r="AL135" s="514"/>
    </row>
    <row r="136" spans="1:38" s="172" customFormat="1" ht="24" customHeight="1">
      <c r="A136" s="361"/>
      <c r="B136" s="515" t="s">
        <v>187</v>
      </c>
      <c r="C136" s="717" t="s">
        <v>188</v>
      </c>
      <c r="D136" s="718"/>
      <c r="E136" s="718"/>
      <c r="F136" s="718"/>
      <c r="G136" s="718"/>
      <c r="H136" s="718"/>
      <c r="I136" s="719"/>
      <c r="J136" s="745" t="s">
        <v>189</v>
      </c>
      <c r="K136" s="745"/>
      <c r="L136" s="745"/>
      <c r="M136" s="745"/>
      <c r="N136" s="745"/>
      <c r="O136" s="745"/>
      <c r="P136" s="745"/>
      <c r="Q136" s="745"/>
      <c r="R136" s="745"/>
      <c r="S136" s="745"/>
      <c r="T136" s="745"/>
      <c r="U136" s="745"/>
      <c r="V136" s="745"/>
      <c r="W136" s="745"/>
      <c r="X136" s="745"/>
      <c r="Y136" s="745"/>
      <c r="Z136" s="745"/>
      <c r="AA136" s="745"/>
      <c r="AB136" s="745"/>
      <c r="AC136" s="745"/>
      <c r="AD136" s="745"/>
      <c r="AE136" s="745"/>
      <c r="AF136" s="745"/>
      <c r="AG136" s="745"/>
      <c r="AH136" s="745"/>
      <c r="AI136" s="745"/>
      <c r="AJ136" s="746"/>
      <c r="AK136" s="512" t="str">
        <f>IF(H6="","",IF(AND(BA36=0,BE36=0),"",IF(OR(AK36="○",AND(AK36="×",AK37="✓")),"○","×")))</f>
        <v/>
      </c>
      <c r="AL136" s="26"/>
    </row>
    <row r="137" spans="1:38" s="23" customFormat="1" ht="26.25" customHeight="1">
      <c r="A137" s="361"/>
      <c r="B137" s="515" t="s">
        <v>190</v>
      </c>
      <c r="C137" s="717" t="s">
        <v>191</v>
      </c>
      <c r="D137" s="718"/>
      <c r="E137" s="718"/>
      <c r="F137" s="718"/>
      <c r="G137" s="718"/>
      <c r="H137" s="718"/>
      <c r="I137" s="719"/>
      <c r="J137" s="745" t="s">
        <v>192</v>
      </c>
      <c r="K137" s="745"/>
      <c r="L137" s="745"/>
      <c r="M137" s="745"/>
      <c r="N137" s="745"/>
      <c r="O137" s="745"/>
      <c r="P137" s="745"/>
      <c r="Q137" s="745"/>
      <c r="R137" s="745"/>
      <c r="S137" s="745"/>
      <c r="T137" s="745"/>
      <c r="U137" s="745"/>
      <c r="V137" s="745"/>
      <c r="W137" s="745"/>
      <c r="X137" s="745"/>
      <c r="Y137" s="745"/>
      <c r="Z137" s="745"/>
      <c r="AA137" s="745"/>
      <c r="AB137" s="745"/>
      <c r="AC137" s="745"/>
      <c r="AD137" s="745"/>
      <c r="AE137" s="745"/>
      <c r="AF137" s="745"/>
      <c r="AG137" s="745"/>
      <c r="AH137" s="745"/>
      <c r="AI137" s="745"/>
      <c r="AJ137" s="746"/>
      <c r="AK137" s="512" t="str">
        <f>IF(H6="","",IF(AND(BA40=0,BE40=0),"",IF(OR(AK40="○",AK43="○"),"○","×")))</f>
        <v/>
      </c>
      <c r="AL137" s="26"/>
    </row>
    <row r="138" spans="1:38" s="23" customFormat="1" ht="18" customHeight="1">
      <c r="A138" s="361"/>
      <c r="B138" s="515" t="s">
        <v>193</v>
      </c>
      <c r="C138" s="717" t="s">
        <v>194</v>
      </c>
      <c r="D138" s="718"/>
      <c r="E138" s="718"/>
      <c r="F138" s="718"/>
      <c r="G138" s="718"/>
      <c r="H138" s="718"/>
      <c r="I138" s="719"/>
      <c r="J138" s="747" t="s">
        <v>195</v>
      </c>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8"/>
      <c r="AK138" s="512" t="str">
        <f>IF(H6="","",IF(AND(BA51=0,BE51=0),"",IF(OR(AK40="○",AK43="○"),"○","×")))</f>
        <v/>
      </c>
      <c r="AL138" s="514"/>
    </row>
    <row r="139" spans="1:38" s="23" customFormat="1" ht="22.15" customHeight="1">
      <c r="A139" s="361"/>
      <c r="B139" s="744" t="s">
        <v>196</v>
      </c>
      <c r="C139" s="723" t="s">
        <v>197</v>
      </c>
      <c r="D139" s="724"/>
      <c r="E139" s="724"/>
      <c r="F139" s="724"/>
      <c r="G139" s="724"/>
      <c r="H139" s="724"/>
      <c r="I139" s="725"/>
      <c r="J139" s="745" t="s">
        <v>2475</v>
      </c>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6"/>
      <c r="AK139" s="512" t="str">
        <f>IF(H6="", "",IF(OR(AK54="○", AK56="○"), "○", "×"))</f>
        <v/>
      </c>
      <c r="AL139" s="26"/>
    </row>
    <row r="140" spans="1:38" s="23" customFormat="1">
      <c r="A140" s="361"/>
      <c r="B140" s="744"/>
      <c r="C140" s="726"/>
      <c r="D140" s="727"/>
      <c r="E140" s="727"/>
      <c r="F140" s="727"/>
      <c r="G140" s="727"/>
      <c r="H140" s="727"/>
      <c r="I140" s="728"/>
      <c r="J140" s="747" t="s">
        <v>198</v>
      </c>
      <c r="K140" s="747"/>
      <c r="L140" s="747"/>
      <c r="M140" s="747"/>
      <c r="N140" s="747"/>
      <c r="O140" s="747"/>
      <c r="P140" s="747"/>
      <c r="Q140" s="747"/>
      <c r="R140" s="747"/>
      <c r="S140" s="747"/>
      <c r="T140" s="747"/>
      <c r="U140" s="747"/>
      <c r="V140" s="747"/>
      <c r="W140" s="747"/>
      <c r="X140" s="747"/>
      <c r="Y140" s="747"/>
      <c r="Z140" s="747"/>
      <c r="AA140" s="747"/>
      <c r="AB140" s="747"/>
      <c r="AC140" s="747"/>
      <c r="AD140" s="747"/>
      <c r="AE140" s="747"/>
      <c r="AF140" s="747"/>
      <c r="AG140" s="747"/>
      <c r="AH140" s="747"/>
      <c r="AI140" s="747"/>
      <c r="AJ140" s="748"/>
      <c r="AK140" s="512" t="str">
        <f>IF(H6="", "", AK96)</f>
        <v/>
      </c>
      <c r="AL140" s="26"/>
    </row>
    <row r="141" spans="1:38" ht="15" customHeight="1">
      <c r="A141" s="26"/>
      <c r="B141" s="516" t="s">
        <v>199</v>
      </c>
      <c r="C141" s="735" t="s">
        <v>200</v>
      </c>
      <c r="D141" s="735"/>
      <c r="E141" s="735"/>
      <c r="F141" s="735"/>
      <c r="G141" s="735"/>
      <c r="H141" s="735"/>
      <c r="I141" s="735"/>
      <c r="J141" s="736" t="s">
        <v>201</v>
      </c>
      <c r="K141" s="736"/>
      <c r="L141" s="736"/>
      <c r="M141" s="736"/>
      <c r="N141" s="736"/>
      <c r="O141" s="736"/>
      <c r="P141" s="736"/>
      <c r="Q141" s="736"/>
      <c r="R141" s="736"/>
      <c r="S141" s="736"/>
      <c r="T141" s="736"/>
      <c r="U141" s="736"/>
      <c r="V141" s="736"/>
      <c r="W141" s="736"/>
      <c r="X141" s="736"/>
      <c r="Y141" s="736"/>
      <c r="Z141" s="736"/>
      <c r="AA141" s="736"/>
      <c r="AB141" s="736"/>
      <c r="AC141" s="736"/>
      <c r="AD141" s="736"/>
      <c r="AE141" s="736"/>
      <c r="AF141" s="736"/>
      <c r="AG141" s="736"/>
      <c r="AH141" s="736"/>
      <c r="AI141" s="736"/>
      <c r="AJ141" s="737"/>
      <c r="AK141" s="517" t="str">
        <f>IF(H6="", "", AK102)</f>
        <v/>
      </c>
      <c r="AL141" s="26"/>
    </row>
    <row r="142" spans="1:38" s="23" customFormat="1">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row>
    <row r="143" spans="1:38" ht="16.899999999999999" customHeight="1">
      <c r="A143" s="26"/>
      <c r="B143" s="720" t="s">
        <v>202</v>
      </c>
      <c r="C143" s="721"/>
      <c r="D143" s="721"/>
      <c r="E143" s="721"/>
      <c r="F143" s="721"/>
      <c r="G143" s="721"/>
      <c r="H143" s="721"/>
      <c r="I143" s="721"/>
      <c r="J143" s="721"/>
      <c r="K143" s="721"/>
      <c r="L143" s="721"/>
      <c r="M143" s="721"/>
      <c r="N143" s="721"/>
      <c r="O143" s="721"/>
      <c r="P143" s="721"/>
      <c r="Q143" s="721"/>
      <c r="R143" s="721"/>
      <c r="S143" s="721"/>
      <c r="T143" s="721"/>
      <c r="U143" s="721"/>
      <c r="V143" s="721"/>
      <c r="W143" s="721"/>
      <c r="X143" s="721"/>
      <c r="Y143" s="721"/>
      <c r="Z143" s="721"/>
      <c r="AA143" s="721"/>
      <c r="AB143" s="721"/>
      <c r="AC143" s="721"/>
      <c r="AD143" s="721"/>
      <c r="AE143" s="721"/>
      <c r="AF143" s="721"/>
      <c r="AG143" s="721"/>
      <c r="AH143" s="721"/>
      <c r="AI143" s="721"/>
      <c r="AJ143" s="721"/>
      <c r="AK143" s="722"/>
      <c r="AL143" s="26"/>
    </row>
    <row r="144" spans="1:38" ht="13.15" customHeight="1">
      <c r="A144" s="26"/>
      <c r="B144" s="518" t="s">
        <v>71</v>
      </c>
      <c r="C144" s="732" t="s">
        <v>203</v>
      </c>
      <c r="D144" s="733"/>
      <c r="E144" s="733"/>
      <c r="F144" s="733"/>
      <c r="G144" s="733"/>
      <c r="H144" s="733"/>
      <c r="I144" s="733"/>
      <c r="J144" s="733"/>
      <c r="K144" s="733"/>
      <c r="L144" s="733"/>
      <c r="M144" s="733"/>
      <c r="N144" s="733"/>
      <c r="O144" s="733"/>
      <c r="P144" s="733"/>
      <c r="Q144" s="733"/>
      <c r="R144" s="733"/>
      <c r="S144" s="733"/>
      <c r="T144" s="733"/>
      <c r="U144" s="733"/>
      <c r="V144" s="733"/>
      <c r="W144" s="733"/>
      <c r="X144" s="733"/>
      <c r="Y144" s="733"/>
      <c r="Z144" s="733"/>
      <c r="AA144" s="733"/>
      <c r="AB144" s="733"/>
      <c r="AC144" s="733"/>
      <c r="AD144" s="733"/>
      <c r="AE144" s="733"/>
      <c r="AF144" s="733"/>
      <c r="AG144" s="733"/>
      <c r="AH144" s="733"/>
      <c r="AI144" s="733"/>
      <c r="AJ144" s="734"/>
      <c r="AK144" s="512" t="str">
        <f>IF(H6="", "",AK106)</f>
        <v/>
      </c>
      <c r="AL144" s="26"/>
    </row>
    <row r="145" spans="1:38" ht="13.15" customHeight="1">
      <c r="A145" s="26"/>
      <c r="B145" s="519" t="s">
        <v>71</v>
      </c>
      <c r="C145" s="711" t="s">
        <v>204</v>
      </c>
      <c r="D145" s="712"/>
      <c r="E145" s="712"/>
      <c r="F145" s="712"/>
      <c r="G145" s="712"/>
      <c r="H145" s="712"/>
      <c r="I145" s="712"/>
      <c r="J145" s="712"/>
      <c r="K145" s="712"/>
      <c r="L145" s="712"/>
      <c r="M145" s="712"/>
      <c r="N145" s="712"/>
      <c r="O145" s="712"/>
      <c r="P145" s="712"/>
      <c r="Q145" s="712"/>
      <c r="R145" s="712"/>
      <c r="S145" s="712"/>
      <c r="T145" s="712"/>
      <c r="U145" s="712"/>
      <c r="V145" s="712"/>
      <c r="W145" s="712"/>
      <c r="X145" s="712"/>
      <c r="Y145" s="712"/>
      <c r="Z145" s="712"/>
      <c r="AA145" s="712"/>
      <c r="AB145" s="712"/>
      <c r="AC145" s="712"/>
      <c r="AD145" s="712"/>
      <c r="AE145" s="712"/>
      <c r="AF145" s="712"/>
      <c r="AG145" s="712"/>
      <c r="AH145" s="712"/>
      <c r="AI145" s="712"/>
      <c r="AJ145" s="713"/>
      <c r="AK145" s="512" t="str">
        <f>IF(H6="", "",AK118)</f>
        <v/>
      </c>
      <c r="AL145" s="26"/>
    </row>
    <row r="146" spans="1:38" ht="4.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24" customFormat="1" ht="12.5"/>
    <row r="161" s="24" customFormat="1" ht="12.5"/>
    <row r="162" s="24" customFormat="1" ht="24" customHeight="1"/>
    <row r="163" ht="26.5" customHeight="1"/>
    <row r="164" ht="34.15" customHeight="1"/>
    <row r="165" ht="33.65" customHeight="1"/>
    <row r="166" ht="15.65"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0.7265625" style="181" customWidth="1"/>
    <col min="15" max="15" width="12" style="51" customWidth="1"/>
    <col min="16" max="16" width="6.36328125" style="182" customWidth="1"/>
    <col min="17" max="17" width="3" style="5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2.90625" style="27" customWidth="1"/>
    <col min="27" max="27" width="7.36328125" style="27" customWidth="1"/>
    <col min="28" max="28" width="16.90625" style="27" customWidth="1"/>
    <col min="29" max="29" width="15" style="27" customWidth="1"/>
    <col min="30" max="30" width="18.08984375" style="181" customWidth="1"/>
    <col min="31" max="31" width="21.6328125" style="620"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18.36328125" style="175" customWidth="1"/>
    <col min="44" max="44" width="21.6328125" style="25" customWidth="1"/>
    <col min="45" max="45" width="16.36328125" style="175" customWidth="1"/>
    <col min="46" max="46" width="14.36328125" style="175" customWidth="1"/>
    <col min="47" max="49" width="25.08984375" style="175" customWidth="1"/>
    <col min="50" max="51" width="17" style="175" customWidth="1"/>
    <col min="52" max="52" width="10" style="175" customWidth="1"/>
    <col min="53" max="54" width="16.36328125" style="175" customWidth="1"/>
    <col min="55" max="58" width="10" style="175" customWidth="1"/>
    <col min="59" max="59" width="14.36328125" style="175" customWidth="1"/>
    <col min="60" max="60" width="13.90625" style="175" bestFit="1" customWidth="1"/>
    <col min="61" max="61" width="15.36328125" style="175" customWidth="1"/>
    <col min="62" max="62" width="12.90625" style="175" customWidth="1"/>
    <col min="63" max="63" width="11.36328125" style="175" customWidth="1"/>
    <col min="64" max="66" width="6.90625" style="175" customWidth="1"/>
    <col min="67" max="67" width="6.90625" style="176" customWidth="1"/>
    <col min="68" max="68" width="22.08984375" customWidth="1"/>
  </cols>
  <sheetData>
    <row r="1" spans="1:68" ht="29.25" customHeight="1" thickBot="1">
      <c r="A1" s="524" t="s">
        <v>205</v>
      </c>
      <c r="B1" s="525"/>
      <c r="C1" s="525"/>
      <c r="D1" s="525"/>
      <c r="E1" s="525"/>
      <c r="F1" s="525"/>
      <c r="G1" s="356"/>
      <c r="H1" s="356"/>
      <c r="I1" s="526"/>
      <c r="J1" s="356"/>
      <c r="K1" s="157"/>
      <c r="L1" s="356"/>
      <c r="M1" s="462"/>
      <c r="N1" s="527"/>
      <c r="O1" s="527"/>
      <c r="P1" s="528"/>
      <c r="Q1" s="529"/>
      <c r="R1" s="55"/>
      <c r="S1" s="530"/>
      <c r="T1" s="530"/>
      <c r="U1" s="530"/>
      <c r="V1" s="530"/>
      <c r="W1" s="530"/>
      <c r="X1" s="530"/>
      <c r="Y1" s="530"/>
      <c r="Z1" s="530"/>
      <c r="AA1" s="530"/>
      <c r="AB1" s="530"/>
      <c r="AC1" s="530"/>
      <c r="AD1" s="531"/>
      <c r="AE1" s="532"/>
      <c r="AF1" s="533"/>
      <c r="AG1" s="26"/>
      <c r="AH1" s="26"/>
      <c r="AI1" s="534" t="s">
        <v>5</v>
      </c>
      <c r="AJ1" s="534" t="str">
        <f>IF(基本情報入力シート!C11="", "",基本情報入力シート!C11)</f>
        <v/>
      </c>
      <c r="AK1" s="535"/>
      <c r="AL1" s="535"/>
      <c r="AM1" s="535"/>
      <c r="AN1" s="535"/>
      <c r="AO1" s="536"/>
      <c r="AP1" s="535"/>
      <c r="AR1" s="536"/>
      <c r="BG1" s="176"/>
      <c r="BH1"/>
      <c r="BI1"/>
      <c r="BJ1"/>
      <c r="BK1"/>
      <c r="BL1"/>
      <c r="BM1"/>
      <c r="BN1"/>
      <c r="BO1"/>
    </row>
    <row r="2" spans="1:68" ht="21" customHeight="1" thickBot="1">
      <c r="A2" s="537"/>
      <c r="B2" s="538"/>
      <c r="C2" s="538"/>
      <c r="D2" s="538"/>
      <c r="E2" s="538"/>
      <c r="F2" s="538"/>
      <c r="G2" s="539"/>
      <c r="H2" s="539"/>
      <c r="I2" s="540"/>
      <c r="J2" s="539"/>
      <c r="K2" s="541"/>
      <c r="L2" s="539"/>
      <c r="M2" s="542"/>
      <c r="N2" s="527"/>
      <c r="O2" s="527"/>
      <c r="P2" s="528"/>
      <c r="Q2" s="529"/>
      <c r="R2" s="55"/>
      <c r="S2" s="55"/>
      <c r="T2" s="55"/>
      <c r="U2" s="55"/>
      <c r="V2" s="55"/>
      <c r="W2" s="55"/>
      <c r="X2" s="55"/>
      <c r="Y2" s="55"/>
      <c r="Z2" s="55"/>
      <c r="AA2" s="55"/>
      <c r="AB2" s="55"/>
      <c r="AC2" s="55"/>
      <c r="AD2" s="531"/>
      <c r="AE2" s="543"/>
      <c r="AF2" s="544"/>
      <c r="AG2" s="26"/>
      <c r="AH2" s="26"/>
      <c r="AI2" s="545"/>
      <c r="AJ2" s="546"/>
      <c r="AK2" s="544"/>
      <c r="AL2" s="544"/>
      <c r="AM2" s="544"/>
      <c r="AN2" s="544"/>
      <c r="AO2" s="544"/>
      <c r="AR2" s="544"/>
      <c r="BG2" s="176"/>
      <c r="BH2"/>
      <c r="BI2"/>
      <c r="BJ2"/>
      <c r="BK2"/>
      <c r="BL2"/>
      <c r="BM2"/>
      <c r="BN2"/>
      <c r="BO2"/>
    </row>
    <row r="3" spans="1:68" ht="27" customHeight="1" thickBot="1">
      <c r="A3" s="923" t="s">
        <v>58</v>
      </c>
      <c r="B3" s="923"/>
      <c r="C3" s="924"/>
      <c r="D3" s="925" t="str">
        <f>IF(基本情報入力シート!L16="","",基本情報入力シート!L16)</f>
        <v/>
      </c>
      <c r="E3" s="926"/>
      <c r="F3" s="926"/>
      <c r="G3" s="926"/>
      <c r="H3" s="926"/>
      <c r="I3" s="926"/>
      <c r="J3" s="927"/>
      <c r="K3" s="157"/>
      <c r="L3" s="547"/>
      <c r="M3" s="548"/>
      <c r="N3" s="549"/>
      <c r="O3" s="549"/>
      <c r="P3" s="528"/>
      <c r="Q3" s="529"/>
      <c r="R3" s="55"/>
      <c r="S3" s="530"/>
      <c r="T3" s="530"/>
      <c r="U3" s="530"/>
      <c r="V3" s="530"/>
      <c r="W3" s="530"/>
      <c r="X3" s="530"/>
      <c r="Y3" s="530"/>
      <c r="Z3" s="530"/>
      <c r="AA3" s="530"/>
      <c r="AB3" s="530"/>
      <c r="AC3" s="530"/>
      <c r="AD3" s="531"/>
      <c r="AE3" s="543"/>
      <c r="AF3" s="544"/>
      <c r="AG3" s="26"/>
      <c r="AH3" s="26"/>
      <c r="AI3" s="545"/>
      <c r="AJ3" s="546"/>
      <c r="AK3" s="544"/>
      <c r="AL3" s="544"/>
      <c r="AM3" s="544"/>
      <c r="AN3" s="544"/>
      <c r="AO3" s="544"/>
      <c r="AQ3" s="550"/>
      <c r="AR3" s="544"/>
      <c r="AS3" s="550"/>
      <c r="AT3" s="550"/>
      <c r="BK3" s="176"/>
      <c r="BL3"/>
      <c r="BM3"/>
      <c r="BN3"/>
      <c r="BO3"/>
    </row>
    <row r="4" spans="1:68" ht="21" customHeight="1" thickBot="1">
      <c r="A4" s="551"/>
      <c r="B4" s="552"/>
      <c r="C4" s="552"/>
      <c r="D4" s="553"/>
      <c r="E4" s="553"/>
      <c r="F4" s="553"/>
      <c r="G4" s="554"/>
      <c r="H4" s="554"/>
      <c r="I4" s="554"/>
      <c r="J4" s="554"/>
      <c r="K4" s="554"/>
      <c r="L4" s="547"/>
      <c r="M4" s="548"/>
      <c r="N4" s="549"/>
      <c r="O4" s="549"/>
      <c r="P4" s="528"/>
      <c r="Q4" s="529"/>
      <c r="R4" s="55"/>
      <c r="S4" s="530"/>
      <c r="T4" s="530"/>
      <c r="U4" s="530"/>
      <c r="V4" s="530"/>
      <c r="W4" s="530"/>
      <c r="X4" s="530"/>
      <c r="Y4" s="530"/>
      <c r="Z4" s="530"/>
      <c r="AA4" s="530"/>
      <c r="AB4" s="530"/>
      <c r="AC4" s="530"/>
      <c r="AD4" s="531"/>
      <c r="AE4" s="963" t="s">
        <v>2468</v>
      </c>
      <c r="AF4" s="963"/>
      <c r="AG4" s="963"/>
      <c r="AH4" s="963"/>
      <c r="AI4" s="963"/>
      <c r="AJ4" s="963"/>
      <c r="AK4" s="544"/>
      <c r="AL4" s="544"/>
      <c r="AM4" s="544"/>
      <c r="AN4" s="544"/>
      <c r="AO4" s="544"/>
      <c r="AR4" s="544"/>
      <c r="BK4" s="176"/>
      <c r="BL4"/>
      <c r="BM4"/>
      <c r="BN4"/>
      <c r="BO4"/>
    </row>
    <row r="5" spans="1:68" ht="35.25" customHeight="1" thickBot="1">
      <c r="A5" s="928" t="s">
        <v>206</v>
      </c>
      <c r="B5" s="929"/>
      <c r="C5" s="929"/>
      <c r="D5" s="929"/>
      <c r="E5" s="929"/>
      <c r="F5" s="929"/>
      <c r="G5" s="929"/>
      <c r="H5" s="929"/>
      <c r="I5" s="929"/>
      <c r="J5" s="929"/>
      <c r="K5" s="930"/>
      <c r="L5" s="908">
        <f>IFERROR(SUM(AB:AB),"")</f>
        <v>0</v>
      </c>
      <c r="M5" s="909"/>
      <c r="N5" s="555" t="s">
        <v>66</v>
      </c>
      <c r="O5" s="549"/>
      <c r="P5" s="556"/>
      <c r="Q5" s="528"/>
      <c r="R5" s="529"/>
      <c r="S5" s="55"/>
      <c r="T5" s="530"/>
      <c r="U5" s="530"/>
      <c r="V5" s="530"/>
      <c r="W5" s="530"/>
      <c r="X5" s="530"/>
      <c r="Y5" s="530"/>
      <c r="Z5" s="530"/>
      <c r="AA5" s="530"/>
      <c r="AB5" s="530"/>
      <c r="AC5" s="530"/>
      <c r="AD5" s="531"/>
      <c r="AE5" s="910" t="s">
        <v>207</v>
      </c>
      <c r="AF5" s="911"/>
      <c r="AG5" s="911"/>
      <c r="AH5" s="911"/>
      <c r="AI5" s="912"/>
      <c r="AJ5" s="557">
        <f>COUNTIF(AT:AT,"対象")</f>
        <v>0</v>
      </c>
      <c r="AK5" s="558"/>
      <c r="AL5" s="558"/>
      <c r="AM5" s="558"/>
      <c r="AN5" s="558"/>
      <c r="AO5" s="559"/>
      <c r="AP5" s="560"/>
      <c r="AR5" s="559"/>
      <c r="BK5" s="176"/>
      <c r="BL5"/>
      <c r="BM5"/>
      <c r="BN5"/>
      <c r="BO5"/>
    </row>
    <row r="6" spans="1:68" ht="35.25" customHeight="1" thickBot="1">
      <c r="A6" s="561"/>
      <c r="B6" s="905" t="s">
        <v>208</v>
      </c>
      <c r="C6" s="906"/>
      <c r="D6" s="906"/>
      <c r="E6" s="906"/>
      <c r="F6" s="906"/>
      <c r="G6" s="906"/>
      <c r="H6" s="906"/>
      <c r="I6" s="906"/>
      <c r="J6" s="906"/>
      <c r="K6" s="907"/>
      <c r="L6" s="908">
        <f>IFERROR(SUM(AC:AC),"")</f>
        <v>0</v>
      </c>
      <c r="M6" s="909"/>
      <c r="N6" s="555" t="s">
        <v>66</v>
      </c>
      <c r="O6" s="527"/>
      <c r="P6" s="556"/>
      <c r="Q6" s="528"/>
      <c r="R6" s="529"/>
      <c r="S6" s="55"/>
      <c r="T6" s="530"/>
      <c r="U6" s="530"/>
      <c r="V6" s="530"/>
      <c r="W6" s="530"/>
      <c r="X6" s="530"/>
      <c r="Y6" s="530"/>
      <c r="Z6" s="530"/>
      <c r="AA6" s="530"/>
      <c r="AB6" s="530"/>
      <c r="AC6" s="530"/>
      <c r="AD6" s="531"/>
      <c r="AE6" s="910" t="s">
        <v>209</v>
      </c>
      <c r="AF6" s="911"/>
      <c r="AG6" s="911"/>
      <c r="AH6" s="911"/>
      <c r="AI6" s="912"/>
      <c r="AJ6" s="562">
        <f>SUM(AG12:AG111)</f>
        <v>0</v>
      </c>
      <c r="AK6" s="559"/>
      <c r="AL6" s="559"/>
      <c r="AM6" s="559"/>
      <c r="AN6" s="559"/>
      <c r="AO6" s="559"/>
      <c r="AP6" s="560"/>
      <c r="AR6" s="559"/>
      <c r="AU6" s="563"/>
      <c r="AV6" s="563"/>
      <c r="AW6" s="563"/>
      <c r="AX6" s="904"/>
      <c r="AY6" s="904"/>
      <c r="AZ6" s="904"/>
      <c r="BA6" s="904"/>
      <c r="BB6" s="904"/>
      <c r="BC6" s="904"/>
      <c r="BD6" s="904"/>
      <c r="BE6" s="904"/>
      <c r="BF6" s="904"/>
      <c r="BG6" s="904"/>
      <c r="BH6" s="904"/>
      <c r="BI6" s="904"/>
      <c r="BJ6" s="177"/>
      <c r="BK6" s="904"/>
      <c r="BL6" s="904"/>
      <c r="BM6" s="904"/>
      <c r="BN6" s="904"/>
      <c r="BO6" s="904"/>
    </row>
    <row r="7" spans="1:68" ht="35.25" customHeight="1" thickBot="1">
      <c r="A7" s="931" t="s">
        <v>210</v>
      </c>
      <c r="B7" s="931"/>
      <c r="C7" s="931"/>
      <c r="D7" s="931"/>
      <c r="E7" s="931"/>
      <c r="F7" s="931"/>
      <c r="G7" s="931"/>
      <c r="H7" s="931"/>
      <c r="I7" s="931"/>
      <c r="J7" s="931"/>
      <c r="K7" s="931"/>
      <c r="L7" s="931"/>
      <c r="M7" s="931"/>
      <c r="N7" s="564"/>
      <c r="O7" s="527"/>
      <c r="P7" s="556"/>
      <c r="Q7" s="528"/>
      <c r="R7" s="529"/>
      <c r="S7" s="55"/>
      <c r="T7" s="530"/>
      <c r="U7" s="530"/>
      <c r="V7" s="530"/>
      <c r="W7" s="530"/>
      <c r="X7" s="530"/>
      <c r="Y7" s="530"/>
      <c r="Z7" s="530"/>
      <c r="AA7" s="530"/>
      <c r="AB7" s="530"/>
      <c r="AC7" s="530"/>
      <c r="AD7" s="531"/>
      <c r="AE7" s="910" t="s">
        <v>211</v>
      </c>
      <c r="AF7" s="911"/>
      <c r="AG7" s="911"/>
      <c r="AH7" s="911"/>
      <c r="AI7" s="912"/>
      <c r="AJ7" s="562">
        <f>COUNTIF(AH:AH,"*令和８年度特例要件を*")</f>
        <v>0</v>
      </c>
      <c r="AK7" s="559"/>
      <c r="AL7" s="559"/>
      <c r="AM7" s="559"/>
      <c r="AN7" s="559"/>
      <c r="AO7" s="559"/>
      <c r="AP7" s="560"/>
      <c r="AR7" s="559"/>
      <c r="AU7" s="563"/>
      <c r="AV7" s="563"/>
      <c r="AW7" s="563"/>
      <c r="AX7" s="177"/>
      <c r="AY7" s="177"/>
      <c r="AZ7" s="177"/>
      <c r="BA7" s="177"/>
      <c r="BB7" s="177"/>
      <c r="BC7" s="177"/>
      <c r="BD7" s="177"/>
      <c r="BE7" s="177"/>
      <c r="BF7" s="177"/>
      <c r="BG7" s="177"/>
      <c r="BH7" s="177"/>
      <c r="BI7" s="177"/>
      <c r="BJ7" s="177"/>
      <c r="BK7" s="177"/>
      <c r="BL7" s="177"/>
      <c r="BM7" s="177"/>
      <c r="BN7" s="177"/>
      <c r="BO7" s="177"/>
    </row>
    <row r="8" spans="1:68" ht="35.25" customHeight="1" thickBot="1">
      <c r="A8" s="26"/>
      <c r="B8" s="565"/>
      <c r="C8" s="565"/>
      <c r="D8" s="565"/>
      <c r="E8" s="565"/>
      <c r="F8" s="565"/>
      <c r="G8" s="26"/>
      <c r="H8" s="26"/>
      <c r="I8" s="566"/>
      <c r="J8" s="26"/>
      <c r="K8" s="55"/>
      <c r="L8" s="26"/>
      <c r="M8" s="567"/>
      <c r="N8" s="527"/>
      <c r="O8" s="527"/>
      <c r="P8" s="568"/>
      <c r="Q8" s="529"/>
      <c r="R8" s="55"/>
      <c r="S8" s="55"/>
      <c r="T8" s="55"/>
      <c r="U8" s="530"/>
      <c r="V8" s="55"/>
      <c r="W8" s="55"/>
      <c r="X8" s="55"/>
      <c r="Y8" s="55"/>
      <c r="Z8" s="55"/>
      <c r="AA8" s="55"/>
      <c r="AB8" s="55"/>
      <c r="AC8" s="55"/>
      <c r="AD8" s="543"/>
      <c r="AE8" s="543"/>
      <c r="AF8" s="544"/>
      <c r="AG8" s="26"/>
      <c r="AH8" s="26"/>
      <c r="AI8" s="545"/>
      <c r="AJ8" s="546"/>
      <c r="AK8" s="544"/>
      <c r="AL8" s="544"/>
      <c r="AM8" s="544"/>
      <c r="AN8" s="544"/>
      <c r="AO8" s="175"/>
      <c r="AP8" s="175"/>
      <c r="AQ8" s="901"/>
      <c r="AR8" s="901"/>
      <c r="AS8" s="901"/>
      <c r="AT8" s="901"/>
      <c r="AU8" s="901"/>
      <c r="AV8" s="901"/>
      <c r="AW8" s="901"/>
      <c r="AX8" s="901"/>
      <c r="AY8" s="569"/>
      <c r="AZ8" s="901"/>
      <c r="BA8" s="901"/>
      <c r="BB8" s="901"/>
      <c r="BC8" s="901"/>
      <c r="BD8" s="901"/>
      <c r="BE8" s="901"/>
      <c r="BF8" s="569"/>
      <c r="BG8" s="901"/>
      <c r="BH8" s="901"/>
      <c r="BI8" s="901"/>
      <c r="BJ8" s="901"/>
      <c r="BK8" s="901"/>
      <c r="BL8"/>
      <c r="BM8"/>
      <c r="BN8"/>
      <c r="BO8"/>
    </row>
    <row r="9" spans="1:68" s="26" customFormat="1" ht="31.9" customHeight="1" thickBot="1">
      <c r="B9" s="565"/>
      <c r="C9" s="565"/>
      <c r="D9" s="565"/>
      <c r="E9" s="565"/>
      <c r="F9" s="565"/>
      <c r="I9" s="566"/>
      <c r="K9" s="55"/>
      <c r="M9" s="462"/>
      <c r="N9" s="570"/>
      <c r="O9" s="529"/>
      <c r="P9" s="55"/>
      <c r="Q9" s="530"/>
      <c r="R9" s="530"/>
      <c r="S9" s="530"/>
      <c r="T9" s="530"/>
      <c r="U9" s="530"/>
      <c r="V9" s="530"/>
      <c r="W9" s="530"/>
      <c r="X9" s="530"/>
      <c r="Y9" s="530"/>
      <c r="Z9" s="530"/>
      <c r="AA9" s="530"/>
      <c r="AB9" s="571"/>
      <c r="AC9" s="902" t="str">
        <f>IF(D3="", "", IFERROR(IF(COUNTIF(AP12:AP111,"未入力")=0,"○","×"),""))</f>
        <v/>
      </c>
      <c r="AD9" s="903"/>
      <c r="AE9" s="572" t="str">
        <f>IF(D3="", "", IFERROR(IF(COUNTIF(AQ:AQ,"未入力")=0,"○","×"),""))</f>
        <v/>
      </c>
      <c r="AF9" s="572" t="str">
        <f>IF(D3="", "", IFERROR(IF(COUNTIF(AS:AS,"未入力")=0,"○","×"),""))</f>
        <v/>
      </c>
      <c r="AG9" s="902" t="str">
        <f>IF(D3="", "", IFERROR(IF(COUNTIF(AW:AW,"未入力")=0,"○","×"),""))</f>
        <v/>
      </c>
      <c r="AH9" s="903"/>
      <c r="AI9" s="573" t="str">
        <f>IF(D3="","", IF(COUNTIF(AZ:AZ,"未入力")=0,"○","×"))</f>
        <v/>
      </c>
      <c r="AJ9" s="573" t="str">
        <f>IF(D3="","",IF(BF12=0,"",IF(COUNTIF(BC:BC,"未入力")=0,"○","×")))</f>
        <v/>
      </c>
      <c r="AK9" s="574"/>
      <c r="AL9" s="574"/>
      <c r="AM9" s="544"/>
      <c r="AN9" s="544"/>
      <c r="BA9" s="575"/>
      <c r="BB9" s="575"/>
      <c r="BC9" s="575"/>
      <c r="BD9" s="575"/>
      <c r="BE9" s="575"/>
      <c r="BF9" s="575"/>
      <c r="BG9" s="575"/>
      <c r="BH9" s="575"/>
      <c r="BI9" s="576"/>
    </row>
    <row r="10" spans="1:68" ht="53.25" customHeight="1" thickBot="1">
      <c r="A10" s="949"/>
      <c r="B10" s="951" t="s">
        <v>212</v>
      </c>
      <c r="C10" s="952"/>
      <c r="D10" s="952"/>
      <c r="E10" s="952"/>
      <c r="F10" s="953"/>
      <c r="G10" s="957" t="s">
        <v>38</v>
      </c>
      <c r="H10" s="916" t="s">
        <v>39</v>
      </c>
      <c r="I10" s="916"/>
      <c r="J10" s="917" t="s">
        <v>213</v>
      </c>
      <c r="K10" s="919" t="s">
        <v>41</v>
      </c>
      <c r="L10" s="942" t="s">
        <v>214</v>
      </c>
      <c r="M10" s="944" t="s">
        <v>215</v>
      </c>
      <c r="N10" s="946" t="s">
        <v>216</v>
      </c>
      <c r="O10" s="941" t="s">
        <v>217</v>
      </c>
      <c r="P10" s="932" t="s">
        <v>218</v>
      </c>
      <c r="Q10" s="933"/>
      <c r="R10" s="933"/>
      <c r="S10" s="933"/>
      <c r="T10" s="933"/>
      <c r="U10" s="933"/>
      <c r="V10" s="933"/>
      <c r="W10" s="933"/>
      <c r="X10" s="933"/>
      <c r="Y10" s="933"/>
      <c r="Z10" s="933"/>
      <c r="AA10" s="934"/>
      <c r="AB10" s="938" t="s">
        <v>219</v>
      </c>
      <c r="AC10" s="940" t="s">
        <v>220</v>
      </c>
      <c r="AD10" s="941"/>
      <c r="AE10" s="577" t="s">
        <v>221</v>
      </c>
      <c r="AF10" s="577" t="s">
        <v>222</v>
      </c>
      <c r="AG10" s="959" t="s">
        <v>223</v>
      </c>
      <c r="AH10" s="941"/>
      <c r="AI10" s="578" t="s">
        <v>224</v>
      </c>
      <c r="AJ10" s="579" t="s">
        <v>225</v>
      </c>
      <c r="AK10" s="580"/>
      <c r="AL10" s="580"/>
      <c r="AM10" s="581"/>
      <c r="AN10" s="582" t="s">
        <v>226</v>
      </c>
      <c r="AO10" s="583"/>
      <c r="AQ10" s="32"/>
      <c r="AR10" s="32"/>
      <c r="AS10" s="32"/>
      <c r="AT10" s="32"/>
      <c r="AU10" s="32"/>
      <c r="AV10" s="32"/>
      <c r="AW10" s="32"/>
      <c r="AX10" s="32"/>
      <c r="AY10" s="32"/>
      <c r="AZ10" s="32"/>
      <c r="BA10" s="32"/>
      <c r="BB10" s="32"/>
      <c r="BC10" s="32"/>
      <c r="BD10" s="32"/>
      <c r="BE10" s="32"/>
      <c r="BF10" s="32"/>
      <c r="BG10" s="32"/>
      <c r="BH10" s="32"/>
      <c r="BM10" s="176"/>
      <c r="BN10" s="178"/>
      <c r="BO10"/>
    </row>
    <row r="11" spans="1:68" ht="159.75" customHeight="1" thickBot="1">
      <c r="A11" s="950"/>
      <c r="B11" s="954"/>
      <c r="C11" s="955"/>
      <c r="D11" s="955"/>
      <c r="E11" s="955"/>
      <c r="F11" s="956"/>
      <c r="G11" s="958"/>
      <c r="H11" s="584" t="s">
        <v>227</v>
      </c>
      <c r="I11" s="584" t="s">
        <v>228</v>
      </c>
      <c r="J11" s="918"/>
      <c r="K11" s="920"/>
      <c r="L11" s="943"/>
      <c r="M11" s="945"/>
      <c r="N11" s="947"/>
      <c r="O11" s="948"/>
      <c r="P11" s="935"/>
      <c r="Q11" s="936"/>
      <c r="R11" s="936"/>
      <c r="S11" s="936"/>
      <c r="T11" s="936"/>
      <c r="U11" s="936"/>
      <c r="V11" s="936"/>
      <c r="W11" s="936"/>
      <c r="X11" s="936"/>
      <c r="Y11" s="936"/>
      <c r="Z11" s="936"/>
      <c r="AA11" s="937"/>
      <c r="AB11" s="939"/>
      <c r="AC11" s="585" t="s">
        <v>229</v>
      </c>
      <c r="AD11" s="586" t="s">
        <v>230</v>
      </c>
      <c r="AE11" s="587" t="s">
        <v>231</v>
      </c>
      <c r="AF11" s="588" t="s">
        <v>232</v>
      </c>
      <c r="AG11" s="588" t="s">
        <v>233</v>
      </c>
      <c r="AH11" s="589" t="s">
        <v>2470</v>
      </c>
      <c r="AI11" s="590" t="s">
        <v>234</v>
      </c>
      <c r="AJ11" s="591" t="s">
        <v>235</v>
      </c>
      <c r="AK11" s="921" t="s">
        <v>236</v>
      </c>
      <c r="AL11" s="922"/>
      <c r="AM11" s="592"/>
      <c r="AN11" s="593" t="s">
        <v>237</v>
      </c>
      <c r="AO11" s="593" t="s">
        <v>238</v>
      </c>
      <c r="AP11" s="594" t="s">
        <v>239</v>
      </c>
      <c r="AQ11" s="593" t="s">
        <v>240</v>
      </c>
      <c r="AR11" s="593" t="s">
        <v>241</v>
      </c>
      <c r="AS11" s="593" t="s">
        <v>242</v>
      </c>
      <c r="AT11" s="595" t="s">
        <v>2463</v>
      </c>
      <c r="AU11" s="595" t="s">
        <v>243</v>
      </c>
      <c r="AV11" s="593" t="s">
        <v>244</v>
      </c>
      <c r="AW11" s="595" t="s">
        <v>2478</v>
      </c>
      <c r="AX11" s="595" t="s">
        <v>245</v>
      </c>
      <c r="AY11" s="593" t="s">
        <v>246</v>
      </c>
      <c r="AZ11" s="595" t="s">
        <v>247</v>
      </c>
      <c r="BA11" s="595" t="s">
        <v>248</v>
      </c>
      <c r="BB11" s="593" t="s">
        <v>249</v>
      </c>
      <c r="BC11" s="595" t="s">
        <v>250</v>
      </c>
      <c r="BD11" s="595" t="s">
        <v>2477</v>
      </c>
      <c r="BE11" s="596" t="s">
        <v>251</v>
      </c>
      <c r="BF11" s="597" t="s">
        <v>2496</v>
      </c>
      <c r="BG11" s="598" t="s">
        <v>2498</v>
      </c>
      <c r="BH11"/>
      <c r="BI11"/>
      <c r="BJ11"/>
      <c r="BK11"/>
      <c r="BL11"/>
      <c r="BM11"/>
      <c r="BN11"/>
      <c r="BO11"/>
    </row>
    <row r="12" spans="1:68" ht="109.9" customHeight="1" thickBot="1">
      <c r="A12" s="599">
        <v>1</v>
      </c>
      <c r="B12" s="913" t="str">
        <f>IF(基本情報入力シート!B40="","",基本情報入力シート!B40)</f>
        <v/>
      </c>
      <c r="C12" s="914"/>
      <c r="D12" s="914"/>
      <c r="E12" s="914"/>
      <c r="F12" s="915"/>
      <c r="G12" s="600" t="str">
        <f>IF(基本情報入力シート!L40="", "", 基本情報入力シート!L40)</f>
        <v/>
      </c>
      <c r="H12" s="600" t="str">
        <f>IF(基本情報入力シート!Q40="", "", 基本情報入力シート!Q40)</f>
        <v/>
      </c>
      <c r="I12" s="600" t="str">
        <f>IF(基本情報入力シート!V40="", "", 基本情報入力シート!V40)</f>
        <v/>
      </c>
      <c r="J12" s="600" t="str">
        <f>IF(基本情報入力シート!W40="", "", 基本情報入力シート!W40)</f>
        <v/>
      </c>
      <c r="K12" s="600"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01" t="s">
        <v>170</v>
      </c>
      <c r="Q12" s="225"/>
      <c r="R12" s="602" t="s">
        <v>253</v>
      </c>
      <c r="S12" s="225"/>
      <c r="T12" s="602" t="s">
        <v>254</v>
      </c>
      <c r="U12" s="225"/>
      <c r="V12" s="602" t="s">
        <v>253</v>
      </c>
      <c r="W12" s="225"/>
      <c r="X12" s="602" t="s">
        <v>255</v>
      </c>
      <c r="Y12" s="602" t="s">
        <v>256</v>
      </c>
      <c r="Z12" s="602" t="str">
        <f>IF(Q12&gt;=1,(U12*12+W12)-(Q12*12+S12)+1,"")</f>
        <v/>
      </c>
      <c r="AA12" s="603" t="s">
        <v>257</v>
      </c>
      <c r="AB12" s="604" t="str">
        <f>IFERROR(ROUNDDOWN(ROUND(L12*O12,0)*M12,0)*Z12,"")</f>
        <v/>
      </c>
      <c r="AC12" s="605"/>
      <c r="AD12" s="245"/>
      <c r="AE12" s="246"/>
      <c r="AF12" s="246"/>
      <c r="AG12" s="247"/>
      <c r="AH12" s="248"/>
      <c r="AI12" s="249"/>
      <c r="AJ12" s="250"/>
      <c r="AK12" s="60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07"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08"/>
      <c r="AN12" s="609" t="str">
        <f>IFERROR(VLOOKUP(K12,【参考】数式用!$A$2:$N$57,14,FALSE),"")</f>
        <v/>
      </c>
      <c r="AO12" s="609" t="str">
        <f>IF(AND(K12&lt;&gt;"",AN12="加算対象"),"N列に色付け","")</f>
        <v/>
      </c>
      <c r="AP12" s="610" t="str">
        <f>IF(AND(AC12&lt;&gt;0,AC12&lt;&gt;"",AN12="加算対象"),IF(AD12="○","入力済","未入力"),"")</f>
        <v/>
      </c>
      <c r="AQ12" s="611" t="str">
        <f>IF(AND(N12&lt;&gt;"", AE12="",AN12="加算対象"), "未入力", "入力済")</f>
        <v>入力済</v>
      </c>
      <c r="AR12" s="609" t="str">
        <f>IF(AND(N12&lt;&gt;"", N12&lt;&gt;"処遇改善加算Ⅳ",AN12="加算対象"),"AF列に色付け","")</f>
        <v/>
      </c>
      <c r="AS12" s="611" t="str">
        <f>IF(AND(N12&lt;&gt;"", N12&lt;&gt;"処遇改善加算Ⅳ", AF12=""), "未入力", "入力済")</f>
        <v>入力済</v>
      </c>
      <c r="AT12" s="611" t="str">
        <f>IF(OR(N12="処遇改善加算Ⅰ",N12="処遇改善加算Ⅱ"),"対象","")</f>
        <v/>
      </c>
      <c r="AU12" s="611" t="str">
        <f>IF(AND(AN12="加算対象",N12&lt;&gt;"処遇改善加算Ⅲ",N12&lt;&gt;"処遇改善加算Ⅳ", N12&lt;&gt;"", AT12&lt;&gt;"対象外"), 1,"")</f>
        <v/>
      </c>
      <c r="AV12" s="609" t="str">
        <f>IF(AND(AU12=1, OR(AG12=0,AG12=""),AN12="加算対象"),"AH列に色付け","")</f>
        <v/>
      </c>
      <c r="AW12" s="609" t="str">
        <f>IF(AND($AU12=1,$AV12="AH列に色付け",OR($AG12="",$AH12="")),"未入力",IF(AND($AU12=1,$AV12="",$AG12=""),"未入力","入力済"))</f>
        <v>入力済</v>
      </c>
      <c r="AX12" s="611" t="str">
        <f>IFERROR(VLOOKUP(K12,【参考】数式用!$AR$3:$AS$49,2, FALSE), "")</f>
        <v/>
      </c>
      <c r="AY12" s="609" t="str">
        <f>IF(AND(AN12="加算対象",N12="処遇改善加算Ⅰ"),"AI列に色付け","")</f>
        <v/>
      </c>
      <c r="AZ12" s="612" t="str">
        <f>IF(AND(N12="処遇改善加算Ⅰ", AI12=""), "未入力","入力済")</f>
        <v>入力済</v>
      </c>
      <c r="BA12" s="611" t="str">
        <f>IFERROR(VLOOKUP(K12,【参考】数式用!$AX$3:$AY$59, 2, FALSE), "")</f>
        <v/>
      </c>
      <c r="BB12" s="609" t="str">
        <f t="shared" ref="BB12:BB43" si="1">IF(COUNTIF(AE12:AH12,"*令和８年度特例要件を*")&gt;0,"AJ列に色付け","")</f>
        <v/>
      </c>
      <c r="BC12" s="612" t="str">
        <f t="shared" ref="BC12:BC43" si="2">IF(AND(COUNTIF(AE12:AH12,"*令和８年度特例要件を*")&gt;0,AJ12=""), "未入力","入力済")</f>
        <v>入力済</v>
      </c>
      <c r="BD12" s="613" t="str">
        <f>IF(BB12="AJ列に色付け","入力必要","")</f>
        <v/>
      </c>
      <c r="BE12" s="613" t="str">
        <f t="shared" ref="BE12:BE43" si="3">G12</f>
        <v/>
      </c>
      <c r="BF12" s="32">
        <f>IF(COUNTIF(BD:BD,"*入力必要*"),1,0)</f>
        <v>0</v>
      </c>
      <c r="BG12" s="32">
        <f>IF(COUNTIF(AH$12:AH$1048576,"*その他（小規模等により適用除外）*"),1,0)</f>
        <v>0</v>
      </c>
      <c r="BH12"/>
      <c r="BI12"/>
      <c r="BJ12"/>
      <c r="BK12"/>
      <c r="BL12"/>
      <c r="BM12" s="180"/>
      <c r="BN12"/>
      <c r="BO12"/>
    </row>
    <row r="13" spans="1:68" s="181" customFormat="1" ht="109.9" customHeight="1" thickBot="1">
      <c r="A13" s="599">
        <v>2</v>
      </c>
      <c r="B13" s="913" t="str">
        <f>IF(基本情報入力シート!B41="","",基本情報入力シート!B41)</f>
        <v/>
      </c>
      <c r="C13" s="914"/>
      <c r="D13" s="914"/>
      <c r="E13" s="914"/>
      <c r="F13" s="915"/>
      <c r="G13" s="600" t="str">
        <f>IF(基本情報入力シート!L41="", "", 基本情報入力シート!L41)</f>
        <v/>
      </c>
      <c r="H13" s="600" t="str">
        <f>IF(基本情報入力シート!Q41="", "", 基本情報入力シート!Q41)</f>
        <v/>
      </c>
      <c r="I13" s="600" t="str">
        <f>IF(基本情報入力シート!V41="", "", 基本情報入力シート!V41)</f>
        <v/>
      </c>
      <c r="J13" s="600" t="str">
        <f>IF(基本情報入力シート!W41="", "", 基本情報入力シート!W41)</f>
        <v/>
      </c>
      <c r="K13" s="600"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01" t="s">
        <v>170</v>
      </c>
      <c r="Q13" s="225"/>
      <c r="R13" s="602" t="s">
        <v>253</v>
      </c>
      <c r="S13" s="225"/>
      <c r="T13" s="602" t="s">
        <v>254</v>
      </c>
      <c r="U13" s="225"/>
      <c r="V13" s="602" t="s">
        <v>253</v>
      </c>
      <c r="W13" s="225"/>
      <c r="X13" s="602" t="s">
        <v>255</v>
      </c>
      <c r="Y13" s="602" t="s">
        <v>256</v>
      </c>
      <c r="Z13" s="602" t="str">
        <f>IF(Q13&gt;=1,(U13*12+W13)-(Q13*12+S13)+1,"")</f>
        <v/>
      </c>
      <c r="AA13" s="603" t="s">
        <v>257</v>
      </c>
      <c r="AB13" s="604" t="str">
        <f>IFERROR(ROUNDDOWN(ROUND(L13*O13,0)*M13,0)*Z13,"")</f>
        <v/>
      </c>
      <c r="AC13" s="605"/>
      <c r="AD13" s="245"/>
      <c r="AE13" s="246"/>
      <c r="AF13" s="246"/>
      <c r="AG13" s="247"/>
      <c r="AH13" s="248"/>
      <c r="AI13" s="249"/>
      <c r="AJ13" s="250"/>
      <c r="AK13" s="606"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07" t="str">
        <f t="shared" si="0"/>
        <v/>
      </c>
      <c r="AM13" s="608"/>
      <c r="AN13" s="609" t="str">
        <f>IFERROR(VLOOKUP(K13,【参考】数式用!$A$2:$N$57,14,FALSE),"")</f>
        <v/>
      </c>
      <c r="AO13" s="609" t="str">
        <f t="shared" ref="AO13:AO77" si="5">IF(AND(K13&lt;&gt;"",AN13="加算対象"),"N列に色付け","")</f>
        <v/>
      </c>
      <c r="AP13" s="610" t="str">
        <f t="shared" ref="AP13:AP77" si="6">IF(AND(AC13&lt;&gt;0,AC13&lt;&gt;"",AN13="加算対象"),IF(AD13="○","入力済","未入力"),"")</f>
        <v/>
      </c>
      <c r="AQ13" s="611" t="str">
        <f t="shared" ref="AQ13:AQ77" si="7">IF(AND(N13&lt;&gt;"", AE13="",AN13="加算対象"), "未入力", "入力済")</f>
        <v>入力済</v>
      </c>
      <c r="AR13" s="609" t="str">
        <f t="shared" ref="AR13:AR77" si="8">IF(AND(N13&lt;&gt;"", N13&lt;&gt;"処遇改善加算Ⅳ",AN13="加算対象"),"AF列に色付け","")</f>
        <v/>
      </c>
      <c r="AS13" s="611" t="str">
        <f t="shared" ref="AS13:AS77" si="9">IF(AND(N13&lt;&gt;"", N13&lt;&gt;"処遇改善加算Ⅳ", AF13=""), "未入力", "入力済")</f>
        <v>入力済</v>
      </c>
      <c r="AT13" s="611" t="str">
        <f t="shared" ref="AT13:AT77" si="10">IF(OR(N13="処遇改善加算Ⅰ",N13="処遇改善加算Ⅱ"),"対象","")</f>
        <v/>
      </c>
      <c r="AU13" s="611" t="str">
        <f t="shared" ref="AU13" si="11">IF(AND(AN13="加算対象",N13&lt;&gt;"処遇改善加算Ⅲ",N13&lt;&gt;"処遇改善加算Ⅳ", N13&lt;&gt;"", AT13&lt;&gt;"対象外"), 1,"")</f>
        <v/>
      </c>
      <c r="AV13" s="609" t="str">
        <f t="shared" ref="AV13:AV77" si="12">IF(AND(AU13=1, OR(AG13=0,AG13=""),AN13="加算対象"),"AH列に色付け","")</f>
        <v/>
      </c>
      <c r="AW13" s="609" t="str">
        <f t="shared" ref="AW13:AW76" si="13">IF(AND($AU13=1,$AV13="AH列に色付け",OR($AG13="",$AH13="")),"未入力",IF(AND($AU13=1,$AV13="",$AG13=""),"未入力","入力済"))</f>
        <v>入力済</v>
      </c>
      <c r="AX13" s="611" t="str">
        <f>IFERROR(VLOOKUP(K13,【参考】数式用!$AR$3:$AS$49,2, FALSE), "")</f>
        <v/>
      </c>
      <c r="AY13" s="609" t="str">
        <f t="shared" ref="AY13:AY77" si="14">IF(AND(AN13="加算対象",N13="処遇改善加算Ⅰ"),"AI列に色付け","")</f>
        <v/>
      </c>
      <c r="AZ13" s="612" t="str">
        <f t="shared" ref="AZ13:AZ77" si="15">IF(AND(N13="処遇改善加算Ⅰ", AI13=""), "未入力","入力済")</f>
        <v>入力済</v>
      </c>
      <c r="BA13" s="611" t="str">
        <f>IFERROR(VLOOKUP(K13,【参考】数式用!$AX$3:$AY$59, 2, FALSE), "")</f>
        <v/>
      </c>
      <c r="BB13" s="609" t="str">
        <f t="shared" si="1"/>
        <v/>
      </c>
      <c r="BC13" s="612" t="str">
        <f t="shared" si="2"/>
        <v>入力済</v>
      </c>
      <c r="BD13" s="613" t="str">
        <f>IF(BB13="AJ列に色付け","入力必要","")</f>
        <v/>
      </c>
      <c r="BE13" s="613" t="str">
        <f t="shared" si="3"/>
        <v/>
      </c>
      <c r="BF13" s="175"/>
      <c r="BG13" s="175"/>
      <c r="BH13" s="175"/>
      <c r="BI13" s="175"/>
      <c r="BJ13" s="175"/>
      <c r="BK13" s="175"/>
      <c r="BL13" s="175"/>
      <c r="BM13" s="175"/>
      <c r="BN13" s="175"/>
      <c r="BO13" s="176"/>
      <c r="BP13"/>
    </row>
    <row r="14" spans="1:68" s="181" customFormat="1" ht="109.9" customHeight="1" thickBot="1">
      <c r="A14" s="599">
        <v>3</v>
      </c>
      <c r="B14" s="913" t="str">
        <f>IF(基本情報入力シート!B42="","",基本情報入力シート!B42)</f>
        <v/>
      </c>
      <c r="C14" s="914"/>
      <c r="D14" s="914"/>
      <c r="E14" s="914"/>
      <c r="F14" s="915"/>
      <c r="G14" s="600" t="str">
        <f>IF(基本情報入力シート!L42="", "", 基本情報入力シート!L42)</f>
        <v/>
      </c>
      <c r="H14" s="600" t="str">
        <f>IF(基本情報入力シート!Q42="", "", 基本情報入力シート!Q42)</f>
        <v/>
      </c>
      <c r="I14" s="600" t="str">
        <f>IF(基本情報入力シート!V42="", "", 基本情報入力シート!V42)</f>
        <v/>
      </c>
      <c r="J14" s="600" t="str">
        <f>IF(基本情報入力シート!W42="", "", 基本情報入力シート!W42)</f>
        <v/>
      </c>
      <c r="K14" s="600"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01" t="s">
        <v>170</v>
      </c>
      <c r="Q14" s="225"/>
      <c r="R14" s="602" t="s">
        <v>253</v>
      </c>
      <c r="S14" s="225"/>
      <c r="T14" s="602" t="s">
        <v>254</v>
      </c>
      <c r="U14" s="225"/>
      <c r="V14" s="602" t="s">
        <v>253</v>
      </c>
      <c r="W14" s="225"/>
      <c r="X14" s="602" t="s">
        <v>255</v>
      </c>
      <c r="Y14" s="602" t="s">
        <v>256</v>
      </c>
      <c r="Z14" s="602" t="str">
        <f t="shared" ref="Z14:Z78" si="16">IF(Q14&gt;=1,(U14*12+W14)-(Q14*12+S14)+1,"")</f>
        <v/>
      </c>
      <c r="AA14" s="603" t="s">
        <v>257</v>
      </c>
      <c r="AB14" s="604" t="str">
        <f>IFERROR(ROUNDDOWN(ROUND(L14*O14,0)*M14,0)*Z14,"")</f>
        <v/>
      </c>
      <c r="AC14" s="605"/>
      <c r="AD14" s="245"/>
      <c r="AE14" s="246"/>
      <c r="AF14" s="246"/>
      <c r="AG14" s="247"/>
      <c r="AH14" s="248"/>
      <c r="AI14" s="249"/>
      <c r="AJ14" s="250"/>
      <c r="AK14" s="606" t="str">
        <f t="shared" si="4"/>
        <v/>
      </c>
      <c r="AL14" s="607" t="str">
        <f t="shared" si="0"/>
        <v/>
      </c>
      <c r="AM14" s="608"/>
      <c r="AN14" s="609" t="str">
        <f>IFERROR(VLOOKUP(K14,【参考】数式用!$A$2:$N$57,14,FALSE),"")</f>
        <v/>
      </c>
      <c r="AO14" s="609" t="str">
        <f t="shared" si="5"/>
        <v/>
      </c>
      <c r="AP14" s="610" t="str">
        <f t="shared" si="6"/>
        <v/>
      </c>
      <c r="AQ14" s="611" t="str">
        <f t="shared" si="7"/>
        <v>入力済</v>
      </c>
      <c r="AR14" s="609" t="str">
        <f t="shared" si="8"/>
        <v/>
      </c>
      <c r="AS14" s="611" t="str">
        <f t="shared" si="9"/>
        <v>入力済</v>
      </c>
      <c r="AT14" s="611" t="str">
        <f t="shared" si="10"/>
        <v/>
      </c>
      <c r="AU14" s="611" t="str">
        <f>IF(AND(AN14="加算対象",N14&lt;&gt;"処遇改善加算Ⅲ",N14&lt;&gt;"処遇改善加算Ⅳ", N14&lt;&gt;"", AT14&lt;&gt;"対象外"), 1,"")</f>
        <v/>
      </c>
      <c r="AV14" s="609" t="str">
        <f t="shared" si="12"/>
        <v/>
      </c>
      <c r="AW14" s="609" t="str">
        <f t="shared" si="13"/>
        <v>入力済</v>
      </c>
      <c r="AX14" s="611" t="str">
        <f>IFERROR(VLOOKUP(K14,【参考】数式用!$AR$3:$AS$49,2, FALSE), "")</f>
        <v/>
      </c>
      <c r="AY14" s="609" t="str">
        <f>IF(AND(AN14="加算対象",N14="処遇改善加算Ⅰ"),"AI列に色付け","")</f>
        <v/>
      </c>
      <c r="AZ14" s="612" t="str">
        <f t="shared" si="15"/>
        <v>入力済</v>
      </c>
      <c r="BA14" s="611" t="str">
        <f>IFERROR(VLOOKUP(K14,【参考】数式用!$AX$3:$AY$59, 2, FALSE), "")</f>
        <v/>
      </c>
      <c r="BB14" s="609" t="str">
        <f t="shared" si="1"/>
        <v/>
      </c>
      <c r="BC14" s="612" t="str">
        <f t="shared" si="2"/>
        <v>入力済</v>
      </c>
      <c r="BD14" s="613" t="str">
        <f t="shared" ref="BD14:BD77" si="17">IF(BB14="AJ列に色付け","入力必要","")</f>
        <v/>
      </c>
      <c r="BE14" s="613" t="str">
        <f t="shared" si="3"/>
        <v/>
      </c>
      <c r="BF14" s="175"/>
      <c r="BG14" s="175"/>
      <c r="BH14" s="175"/>
      <c r="BI14" s="175"/>
      <c r="BJ14" s="175"/>
      <c r="BK14" s="175"/>
      <c r="BL14" s="175"/>
      <c r="BM14" s="175"/>
      <c r="BN14" s="175"/>
      <c r="BO14" s="176"/>
      <c r="BP14"/>
    </row>
    <row r="15" spans="1:68" s="181" customFormat="1" ht="109.9" customHeight="1" thickBot="1">
      <c r="A15" s="599">
        <v>4</v>
      </c>
      <c r="B15" s="913" t="str">
        <f>IF(基本情報入力シート!B43="","",基本情報入力シート!B43)</f>
        <v/>
      </c>
      <c r="C15" s="914"/>
      <c r="D15" s="914"/>
      <c r="E15" s="914"/>
      <c r="F15" s="915"/>
      <c r="G15" s="600" t="str">
        <f>IF(基本情報入力シート!L43="", "", 基本情報入力シート!L43)</f>
        <v/>
      </c>
      <c r="H15" s="600" t="str">
        <f>IF(基本情報入力シート!Q43="", "", 基本情報入力シート!Q43)</f>
        <v/>
      </c>
      <c r="I15" s="600" t="str">
        <f>IF(基本情報入力シート!V43="", "", 基本情報入力シート!V43)</f>
        <v/>
      </c>
      <c r="J15" s="600" t="str">
        <f>IF(基本情報入力シート!W43="", "", 基本情報入力シート!W43)</f>
        <v/>
      </c>
      <c r="K15" s="600"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01" t="s">
        <v>170</v>
      </c>
      <c r="Q15" s="225"/>
      <c r="R15" s="602" t="s">
        <v>253</v>
      </c>
      <c r="S15" s="225"/>
      <c r="T15" s="602" t="s">
        <v>254</v>
      </c>
      <c r="U15" s="225"/>
      <c r="V15" s="602" t="s">
        <v>253</v>
      </c>
      <c r="W15" s="225"/>
      <c r="X15" s="602" t="s">
        <v>255</v>
      </c>
      <c r="Y15" s="602" t="s">
        <v>256</v>
      </c>
      <c r="Z15" s="602" t="str">
        <f t="shared" ref="Z15" si="18">IF(Q15&gt;=1,(U15*12+W15)-(Q15*12+S15)+1,"")</f>
        <v/>
      </c>
      <c r="AA15" s="603" t="s">
        <v>257</v>
      </c>
      <c r="AB15" s="604" t="str">
        <f>IFERROR(ROUNDDOWN(ROUND(L15*O15,0)*M15,0)*Z15,"")</f>
        <v/>
      </c>
      <c r="AC15" s="605"/>
      <c r="AD15" s="245"/>
      <c r="AE15" s="246"/>
      <c r="AF15" s="246"/>
      <c r="AG15" s="247"/>
      <c r="AH15" s="248"/>
      <c r="AI15" s="249"/>
      <c r="AJ15" s="250"/>
      <c r="AK15" s="60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07" t="str">
        <f t="shared" si="0"/>
        <v/>
      </c>
      <c r="AM15" s="608"/>
      <c r="AN15" s="609" t="str">
        <f>IFERROR(VLOOKUP(K15,【参考】数式用!$A$2:$N$57,14,FALSE),"")</f>
        <v/>
      </c>
      <c r="AO15" s="609" t="str">
        <f t="shared" ref="AO15" si="20">IF(AND(K15&lt;&gt;"",AN15="加算対象"),"N列に色付け","")</f>
        <v/>
      </c>
      <c r="AP15" s="610" t="str">
        <f t="shared" ref="AP15" si="21">IF(AND(AC15&lt;&gt;0,AC15&lt;&gt;"",AN15="加算対象"),IF(AD15="○","入力済","未入力"),"")</f>
        <v/>
      </c>
      <c r="AQ15" s="611" t="str">
        <f t="shared" ref="AQ15" si="22">IF(AND(N15&lt;&gt;"", AE15="",AN15="加算対象"), "未入力", "入力済")</f>
        <v>入力済</v>
      </c>
      <c r="AR15" s="609" t="str">
        <f t="shared" ref="AR15" si="23">IF(AND(N15&lt;&gt;"", N15&lt;&gt;"処遇改善加算Ⅳ",AN15="加算対象"),"AF列に色付け","")</f>
        <v/>
      </c>
      <c r="AS15" s="611" t="str">
        <f t="shared" ref="AS15" si="24">IF(AND(N15&lt;&gt;"", N15&lt;&gt;"処遇改善加算Ⅳ", AF15=""), "未入力", "入力済")</f>
        <v>入力済</v>
      </c>
      <c r="AT15" s="611" t="str">
        <f t="shared" ref="AT15" si="25">IF(OR(N15="処遇改善加算Ⅰ",N15="処遇改善加算Ⅱ"),"対象","")</f>
        <v/>
      </c>
      <c r="AU15" s="611" t="str">
        <f>IF(AND(AN15="加算対象",N15&lt;&gt;"処遇改善加算Ⅲ",N15&lt;&gt;"処遇改善加算Ⅳ", N15&lt;&gt;"", AT15&lt;&gt;"対象外"), 1,"")</f>
        <v/>
      </c>
      <c r="AV15" s="609" t="str">
        <f t="shared" ref="AV15" si="26">IF(AND(AU15=1, OR(AG15=0,AG15=""),AN15="加算対象"),"AH列に色付け","")</f>
        <v/>
      </c>
      <c r="AW15" s="609" t="str">
        <f t="shared" si="13"/>
        <v>入力済</v>
      </c>
      <c r="AX15" s="611" t="str">
        <f>IFERROR(VLOOKUP(K15,【参考】数式用!$AR$3:$AS$49,2, FALSE), "")</f>
        <v/>
      </c>
      <c r="AY15" s="609" t="str">
        <f>IF(AND(AN15="加算対象",N15="処遇改善加算Ⅰ"),"AI列に色付け","")</f>
        <v/>
      </c>
      <c r="AZ15" s="612" t="str">
        <f t="shared" ref="AZ15" si="27">IF(AND(N15="処遇改善加算Ⅰ", AI15=""), "未入力","入力済")</f>
        <v>入力済</v>
      </c>
      <c r="BA15" s="611" t="str">
        <f>IFERROR(VLOOKUP(K15,【参考】数式用!$AX$3:$AY$59, 2, FALSE), "")</f>
        <v/>
      </c>
      <c r="BB15" s="609" t="str">
        <f t="shared" si="1"/>
        <v/>
      </c>
      <c r="BC15" s="612" t="str">
        <f t="shared" si="2"/>
        <v>入力済</v>
      </c>
      <c r="BD15" s="613" t="str">
        <f t="shared" si="17"/>
        <v/>
      </c>
      <c r="BE15" s="613" t="str">
        <f t="shared" si="3"/>
        <v/>
      </c>
      <c r="BF15" s="175"/>
      <c r="BG15" s="175"/>
      <c r="BH15" s="175"/>
      <c r="BI15" s="175"/>
      <c r="BJ15" s="175"/>
      <c r="BK15" s="175"/>
      <c r="BL15" s="175"/>
      <c r="BM15" s="175"/>
      <c r="BN15" s="175"/>
      <c r="BO15" s="176"/>
      <c r="BP15"/>
    </row>
    <row r="16" spans="1:68" s="181" customFormat="1" ht="109.9" customHeight="1" thickBot="1">
      <c r="A16" s="599">
        <v>5</v>
      </c>
      <c r="B16" s="913" t="str">
        <f>IF(基本情報入力シート!B44="","",基本情報入力シート!B44)</f>
        <v/>
      </c>
      <c r="C16" s="914"/>
      <c r="D16" s="914"/>
      <c r="E16" s="914"/>
      <c r="F16" s="915"/>
      <c r="G16" s="600" t="str">
        <f>IF(基本情報入力シート!L44="", "", 基本情報入力シート!L44)</f>
        <v/>
      </c>
      <c r="H16" s="600" t="str">
        <f>IF(基本情報入力シート!Q44="", "", 基本情報入力シート!Q44)</f>
        <v/>
      </c>
      <c r="I16" s="600" t="str">
        <f>IF(基本情報入力シート!V44="", "", 基本情報入力シート!V44)</f>
        <v/>
      </c>
      <c r="J16" s="600" t="str">
        <f>IF(基本情報入力シート!W44="", "", 基本情報入力シート!W44)</f>
        <v/>
      </c>
      <c r="K16" s="600"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01" t="s">
        <v>170</v>
      </c>
      <c r="Q16" s="225"/>
      <c r="R16" s="602" t="s">
        <v>253</v>
      </c>
      <c r="S16" s="225"/>
      <c r="T16" s="602" t="s">
        <v>254</v>
      </c>
      <c r="U16" s="225"/>
      <c r="V16" s="602" t="s">
        <v>253</v>
      </c>
      <c r="W16" s="225"/>
      <c r="X16" s="602" t="s">
        <v>172</v>
      </c>
      <c r="Y16" s="602" t="s">
        <v>256</v>
      </c>
      <c r="Z16" s="602" t="str">
        <f t="shared" si="16"/>
        <v/>
      </c>
      <c r="AA16" s="603" t="s">
        <v>257</v>
      </c>
      <c r="AB16" s="604" t="str">
        <f t="shared" ref="AB16:AB78" si="28">IFERROR(ROUNDDOWN(ROUND(L16*O16,0)*M16,0)*Z16,"")</f>
        <v/>
      </c>
      <c r="AC16" s="605" t="str">
        <f>IFERROR(ROUNDDOWN(ROUNDDOWN(ROUND(L16*VLOOKUP(K16,【参考】数式用!$A$4:$F$57,MATCH("処遇改善加算Ⅳ",【参考】数式用!$C$3:$F$3,0)+2,0),0)*M16,0)*Z16*0.5,0), "")</f>
        <v/>
      </c>
      <c r="AD16" s="245"/>
      <c r="AE16" s="246"/>
      <c r="AF16" s="246"/>
      <c r="AG16" s="247"/>
      <c r="AH16" s="248"/>
      <c r="AI16" s="249"/>
      <c r="AJ16" s="250"/>
      <c r="AK16" s="606" t="str">
        <f t="shared" si="4"/>
        <v/>
      </c>
      <c r="AL16" s="607" t="str">
        <f t="shared" si="0"/>
        <v/>
      </c>
      <c r="AM16" s="608"/>
      <c r="AN16" s="609" t="str">
        <f>IFERROR(VLOOKUP(K16,【参考】数式用!$A$2:$N$57,14,FALSE),"")</f>
        <v/>
      </c>
      <c r="AO16" s="609" t="str">
        <f t="shared" si="5"/>
        <v/>
      </c>
      <c r="AP16" s="610" t="str">
        <f t="shared" si="6"/>
        <v/>
      </c>
      <c r="AQ16" s="611" t="str">
        <f t="shared" si="7"/>
        <v>入力済</v>
      </c>
      <c r="AR16" s="609" t="str">
        <f t="shared" si="8"/>
        <v/>
      </c>
      <c r="AS16" s="611" t="str">
        <f t="shared" si="9"/>
        <v>入力済</v>
      </c>
      <c r="AT16" s="611" t="str">
        <f t="shared" si="10"/>
        <v/>
      </c>
      <c r="AU16" s="611" t="str">
        <f>IF(AND(AN16="加算対象",N16&lt;&gt;"処遇改善加算Ⅲ",N16&lt;&gt;"処遇改善加算Ⅳ", N16&lt;&gt;"", AT16&lt;&gt;"対象外"), 1,"")</f>
        <v/>
      </c>
      <c r="AV16" s="609" t="str">
        <f t="shared" si="12"/>
        <v/>
      </c>
      <c r="AW16" s="609" t="str">
        <f t="shared" si="13"/>
        <v>入力済</v>
      </c>
      <c r="AX16" s="611" t="str">
        <f>IFERROR(VLOOKUP(K16,【参考】数式用!$AR$3:$AS$49,2, FALSE), "")</f>
        <v/>
      </c>
      <c r="AY16" s="609" t="str">
        <f t="shared" si="14"/>
        <v/>
      </c>
      <c r="AZ16" s="612" t="str">
        <f t="shared" si="15"/>
        <v>入力済</v>
      </c>
      <c r="BA16" s="611" t="str">
        <f>IFERROR(VLOOKUP(K16,【参考】数式用!$AX$3:$AY$59, 2, FALSE), "")</f>
        <v/>
      </c>
      <c r="BB16" s="609" t="str">
        <f t="shared" si="1"/>
        <v/>
      </c>
      <c r="BC16" s="612" t="str">
        <f t="shared" si="2"/>
        <v>入力済</v>
      </c>
      <c r="BD16" s="613" t="str">
        <f t="shared" si="17"/>
        <v/>
      </c>
      <c r="BE16" s="613" t="str">
        <f t="shared" si="3"/>
        <v/>
      </c>
      <c r="BF16" s="175"/>
      <c r="BG16" s="175"/>
      <c r="BH16" s="175"/>
      <c r="BI16" s="175"/>
      <c r="BJ16" s="175"/>
      <c r="BK16" s="175"/>
      <c r="BL16" s="175"/>
      <c r="BM16" s="175"/>
      <c r="BN16" s="175"/>
      <c r="BO16" s="176"/>
      <c r="BP16"/>
    </row>
    <row r="17" spans="1:64" s="181" customFormat="1" ht="109.9" customHeight="1" thickBot="1">
      <c r="A17" s="599">
        <v>6</v>
      </c>
      <c r="B17" s="913" t="str">
        <f>IF(基本情報入力シート!B45="","",基本情報入力シート!B45)</f>
        <v/>
      </c>
      <c r="C17" s="914"/>
      <c r="D17" s="914"/>
      <c r="E17" s="914"/>
      <c r="F17" s="915"/>
      <c r="G17" s="600" t="str">
        <f>IF(基本情報入力シート!L45="", "", 基本情報入力シート!L45)</f>
        <v/>
      </c>
      <c r="H17" s="600" t="str">
        <f>IF(基本情報入力シート!Q45="", "", 基本情報入力シート!Q45)</f>
        <v/>
      </c>
      <c r="I17" s="600" t="str">
        <f>IF(基本情報入力シート!V45="", "", 基本情報入力シート!V45)</f>
        <v/>
      </c>
      <c r="J17" s="600" t="str">
        <f>IF(基本情報入力シート!W45="", "", 基本情報入力シート!W45)</f>
        <v/>
      </c>
      <c r="K17" s="600"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01" t="s">
        <v>170</v>
      </c>
      <c r="Q17" s="225"/>
      <c r="R17" s="602" t="s">
        <v>253</v>
      </c>
      <c r="S17" s="225"/>
      <c r="T17" s="602" t="s">
        <v>254</v>
      </c>
      <c r="U17" s="225"/>
      <c r="V17" s="602" t="s">
        <v>253</v>
      </c>
      <c r="W17" s="225"/>
      <c r="X17" s="602" t="s">
        <v>172</v>
      </c>
      <c r="Y17" s="602" t="s">
        <v>256</v>
      </c>
      <c r="Z17" s="602" t="str">
        <f t="shared" si="16"/>
        <v/>
      </c>
      <c r="AA17" s="603" t="s">
        <v>257</v>
      </c>
      <c r="AB17" s="604" t="str">
        <f t="shared" si="28"/>
        <v/>
      </c>
      <c r="AC17" s="605" t="str">
        <f>IFERROR(ROUNDDOWN(ROUNDDOWN(ROUND(L17*VLOOKUP(K17,【参考】数式用!$A$4:$F$57,MATCH("処遇改善加算Ⅳ",【参考】数式用!$C$3:$F$3,0)+2,0),0)*M17,0)*Z17*0.5,0), "")</f>
        <v/>
      </c>
      <c r="AD17" s="245"/>
      <c r="AE17" s="246"/>
      <c r="AF17" s="246"/>
      <c r="AG17" s="247"/>
      <c r="AH17" s="248"/>
      <c r="AI17" s="249"/>
      <c r="AJ17" s="250"/>
      <c r="AK17" s="606" t="str">
        <f t="shared" si="4"/>
        <v/>
      </c>
      <c r="AL17" s="607" t="str">
        <f t="shared" si="0"/>
        <v/>
      </c>
      <c r="AM17" s="608"/>
      <c r="AN17" s="609" t="str">
        <f>IFERROR(VLOOKUP(K17,【参考】数式用!$A$2:$N$57,14,FALSE),"")</f>
        <v/>
      </c>
      <c r="AO17" s="609" t="str">
        <f t="shared" si="5"/>
        <v/>
      </c>
      <c r="AP17" s="610" t="str">
        <f t="shared" si="6"/>
        <v/>
      </c>
      <c r="AQ17" s="611" t="str">
        <f t="shared" si="7"/>
        <v>入力済</v>
      </c>
      <c r="AR17" s="609" t="str">
        <f t="shared" si="8"/>
        <v/>
      </c>
      <c r="AS17" s="611" t="str">
        <f t="shared" si="9"/>
        <v>入力済</v>
      </c>
      <c r="AT17" s="611" t="str">
        <f t="shared" si="10"/>
        <v/>
      </c>
      <c r="AU17" s="611" t="str">
        <f t="shared" ref="AU17:AU77" si="29">IF(AND(AN17="加算対象",N17&lt;&gt;"処遇改善加算Ⅲ",N17&lt;&gt;"処遇改善加算Ⅳ", N17&lt;&gt;"", AT17&lt;&gt;"対象外"), 1,"")</f>
        <v/>
      </c>
      <c r="AV17" s="609" t="str">
        <f t="shared" si="12"/>
        <v/>
      </c>
      <c r="AW17" s="609" t="str">
        <f t="shared" si="13"/>
        <v>入力済</v>
      </c>
      <c r="AX17" s="611" t="str">
        <f>IFERROR(VLOOKUP(K17,【参考】数式用!$AR$3:$AS$49,2, FALSE), "")</f>
        <v/>
      </c>
      <c r="AY17" s="609" t="str">
        <f t="shared" si="14"/>
        <v/>
      </c>
      <c r="AZ17" s="612" t="str">
        <f t="shared" si="15"/>
        <v>入力済</v>
      </c>
      <c r="BA17" s="611" t="str">
        <f>IFERROR(VLOOKUP(K17,【参考】数式用!$AX$3:$AY$59, 2, FALSE), "")</f>
        <v/>
      </c>
      <c r="BB17" s="609" t="str">
        <f t="shared" si="1"/>
        <v/>
      </c>
      <c r="BC17" s="612" t="str">
        <f t="shared" si="2"/>
        <v>入力済</v>
      </c>
      <c r="BD17" s="613" t="str">
        <f t="shared" si="17"/>
        <v/>
      </c>
      <c r="BE17" s="613" t="str">
        <f t="shared" si="3"/>
        <v/>
      </c>
      <c r="BF17" s="51"/>
      <c r="BG17" s="51"/>
      <c r="BH17" s="51"/>
      <c r="BI17" s="51"/>
      <c r="BJ17" s="51"/>
      <c r="BK17" s="51"/>
      <c r="BL17" s="51"/>
    </row>
    <row r="18" spans="1:64" s="181" customFormat="1" ht="109.9" customHeight="1" thickBot="1">
      <c r="A18" s="599">
        <v>7</v>
      </c>
      <c r="B18" s="913" t="str">
        <f>IF(基本情報入力シート!B46="","",基本情報入力シート!B46)</f>
        <v/>
      </c>
      <c r="C18" s="914"/>
      <c r="D18" s="914"/>
      <c r="E18" s="914"/>
      <c r="F18" s="915"/>
      <c r="G18" s="600" t="str">
        <f>IF(基本情報入力シート!L46="", "", 基本情報入力シート!L46)</f>
        <v/>
      </c>
      <c r="H18" s="600" t="str">
        <f>IF(基本情報入力シート!Q46="", "", 基本情報入力シート!Q46)</f>
        <v/>
      </c>
      <c r="I18" s="600" t="str">
        <f>IF(基本情報入力シート!V46="", "", 基本情報入力シート!V46)</f>
        <v/>
      </c>
      <c r="J18" s="600" t="str">
        <f>IF(基本情報入力シート!W46="", "", 基本情報入力シート!W46)</f>
        <v/>
      </c>
      <c r="K18" s="600"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01" t="s">
        <v>170</v>
      </c>
      <c r="Q18" s="225"/>
      <c r="R18" s="602" t="s">
        <v>253</v>
      </c>
      <c r="S18" s="225"/>
      <c r="T18" s="602" t="s">
        <v>254</v>
      </c>
      <c r="U18" s="225"/>
      <c r="V18" s="602" t="s">
        <v>253</v>
      </c>
      <c r="W18" s="225"/>
      <c r="X18" s="602" t="s">
        <v>255</v>
      </c>
      <c r="Y18" s="602" t="s">
        <v>256</v>
      </c>
      <c r="Z18" s="602" t="str">
        <f t="shared" si="16"/>
        <v/>
      </c>
      <c r="AA18" s="603" t="s">
        <v>257</v>
      </c>
      <c r="AB18" s="604" t="str">
        <f t="shared" si="28"/>
        <v/>
      </c>
      <c r="AC18" s="605" t="str">
        <f>IFERROR(ROUNDDOWN(ROUNDDOWN(ROUND(L18*VLOOKUP(K18,【参考】数式用!$A$4:$F$57,MATCH("処遇改善加算Ⅳ",【参考】数式用!$C$3:$F$3,0)+2,0),0)*M18,0)*Z18*0.5,0), "")</f>
        <v/>
      </c>
      <c r="AD18" s="245"/>
      <c r="AE18" s="246"/>
      <c r="AF18" s="246"/>
      <c r="AG18" s="247"/>
      <c r="AH18" s="248"/>
      <c r="AI18" s="249"/>
      <c r="AJ18" s="250"/>
      <c r="AK18" s="606" t="str">
        <f t="shared" si="4"/>
        <v/>
      </c>
      <c r="AL18" s="607" t="str">
        <f t="shared" si="0"/>
        <v/>
      </c>
      <c r="AM18" s="608"/>
      <c r="AN18" s="609" t="str">
        <f>IFERROR(VLOOKUP(K18,【参考】数式用!$A$2:$N$57,14,FALSE),"")</f>
        <v/>
      </c>
      <c r="AO18" s="609" t="str">
        <f t="shared" si="5"/>
        <v/>
      </c>
      <c r="AP18" s="610" t="str">
        <f t="shared" si="6"/>
        <v/>
      </c>
      <c r="AQ18" s="611" t="str">
        <f t="shared" si="7"/>
        <v>入力済</v>
      </c>
      <c r="AR18" s="609" t="str">
        <f t="shared" si="8"/>
        <v/>
      </c>
      <c r="AS18" s="611" t="str">
        <f t="shared" si="9"/>
        <v>入力済</v>
      </c>
      <c r="AT18" s="611" t="str">
        <f t="shared" si="10"/>
        <v/>
      </c>
      <c r="AU18" s="611" t="str">
        <f t="shared" si="29"/>
        <v/>
      </c>
      <c r="AV18" s="609" t="str">
        <f t="shared" si="12"/>
        <v/>
      </c>
      <c r="AW18" s="609" t="str">
        <f t="shared" si="13"/>
        <v>入力済</v>
      </c>
      <c r="AX18" s="611" t="str">
        <f>IFERROR(VLOOKUP(K18,【参考】数式用!$AR$3:$AS$49,2, FALSE), "")</f>
        <v/>
      </c>
      <c r="AY18" s="609" t="str">
        <f t="shared" si="14"/>
        <v/>
      </c>
      <c r="AZ18" s="612" t="str">
        <f t="shared" si="15"/>
        <v>入力済</v>
      </c>
      <c r="BA18" s="611" t="str">
        <f>IFERROR(VLOOKUP(K18,【参考】数式用!$AX$3:$AY$59, 2, FALSE), "")</f>
        <v/>
      </c>
      <c r="BB18" s="609" t="str">
        <f t="shared" si="1"/>
        <v/>
      </c>
      <c r="BC18" s="612" t="str">
        <f t="shared" si="2"/>
        <v>入力済</v>
      </c>
      <c r="BD18" s="613" t="str">
        <f t="shared" si="17"/>
        <v/>
      </c>
      <c r="BE18" s="613" t="str">
        <f t="shared" si="3"/>
        <v/>
      </c>
      <c r="BF18" s="51"/>
      <c r="BG18" s="51"/>
      <c r="BH18" s="51"/>
      <c r="BI18" s="51"/>
      <c r="BJ18" s="51"/>
      <c r="BK18" s="51"/>
      <c r="BL18" s="51"/>
    </row>
    <row r="19" spans="1:64" s="181" customFormat="1" ht="109.9" customHeight="1" thickBot="1">
      <c r="A19" s="599">
        <v>8</v>
      </c>
      <c r="B19" s="913" t="str">
        <f>IF(基本情報入力シート!B47="","",基本情報入力シート!B47)</f>
        <v/>
      </c>
      <c r="C19" s="914"/>
      <c r="D19" s="914"/>
      <c r="E19" s="914"/>
      <c r="F19" s="915"/>
      <c r="G19" s="600" t="str">
        <f>IF(基本情報入力シート!L47="", "", 基本情報入力シート!L47)</f>
        <v/>
      </c>
      <c r="H19" s="600" t="str">
        <f>IF(基本情報入力シート!Q47="", "", 基本情報入力シート!Q47)</f>
        <v/>
      </c>
      <c r="I19" s="600" t="str">
        <f>IF(基本情報入力シート!V47="", "", 基本情報入力シート!V47)</f>
        <v/>
      </c>
      <c r="J19" s="600" t="str">
        <f>IF(基本情報入力シート!W47="", "", 基本情報入力シート!W47)</f>
        <v/>
      </c>
      <c r="K19" s="600"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01" t="s">
        <v>170</v>
      </c>
      <c r="Q19" s="225"/>
      <c r="R19" s="602" t="s">
        <v>253</v>
      </c>
      <c r="S19" s="225"/>
      <c r="T19" s="602" t="s">
        <v>254</v>
      </c>
      <c r="U19" s="225"/>
      <c r="V19" s="602" t="s">
        <v>253</v>
      </c>
      <c r="W19" s="225"/>
      <c r="X19" s="602" t="s">
        <v>255</v>
      </c>
      <c r="Y19" s="602" t="s">
        <v>256</v>
      </c>
      <c r="Z19" s="602" t="str">
        <f t="shared" si="16"/>
        <v/>
      </c>
      <c r="AA19" s="603" t="s">
        <v>257</v>
      </c>
      <c r="AB19" s="604" t="str">
        <f t="shared" si="28"/>
        <v/>
      </c>
      <c r="AC19" s="605" t="str">
        <f>IFERROR(ROUNDDOWN(ROUNDDOWN(ROUND(L19*VLOOKUP(K19,【参考】数式用!$A$4:$F$57,MATCH("処遇改善加算Ⅳ",【参考】数式用!$C$3:$F$3,0)+2,0),0)*M19,0)*Z19*0.5,0), "")</f>
        <v/>
      </c>
      <c r="AD19" s="245"/>
      <c r="AE19" s="246"/>
      <c r="AF19" s="246"/>
      <c r="AG19" s="247"/>
      <c r="AH19" s="248"/>
      <c r="AI19" s="249"/>
      <c r="AJ19" s="250"/>
      <c r="AK19" s="606" t="str">
        <f t="shared" si="4"/>
        <v/>
      </c>
      <c r="AL19" s="607" t="str">
        <f t="shared" si="0"/>
        <v/>
      </c>
      <c r="AM19" s="608"/>
      <c r="AN19" s="609" t="str">
        <f>IFERROR(VLOOKUP(K19,【参考】数式用!$A$2:$N$57,14,FALSE),"")</f>
        <v/>
      </c>
      <c r="AO19" s="609" t="str">
        <f t="shared" si="5"/>
        <v/>
      </c>
      <c r="AP19" s="610" t="str">
        <f t="shared" si="6"/>
        <v/>
      </c>
      <c r="AQ19" s="611" t="str">
        <f t="shared" si="7"/>
        <v>入力済</v>
      </c>
      <c r="AR19" s="609" t="str">
        <f t="shared" si="8"/>
        <v/>
      </c>
      <c r="AS19" s="611" t="str">
        <f t="shared" si="9"/>
        <v>入力済</v>
      </c>
      <c r="AT19" s="611" t="str">
        <f t="shared" si="10"/>
        <v/>
      </c>
      <c r="AU19" s="611" t="str">
        <f t="shared" si="29"/>
        <v/>
      </c>
      <c r="AV19" s="609" t="str">
        <f t="shared" si="12"/>
        <v/>
      </c>
      <c r="AW19" s="609" t="str">
        <f t="shared" si="13"/>
        <v>入力済</v>
      </c>
      <c r="AX19" s="611" t="str">
        <f>IFERROR(VLOOKUP(K19,【参考】数式用!$AR$3:$AS$49,2, FALSE), "")</f>
        <v/>
      </c>
      <c r="AY19" s="609" t="str">
        <f t="shared" si="14"/>
        <v/>
      </c>
      <c r="AZ19" s="612" t="str">
        <f t="shared" si="15"/>
        <v>入力済</v>
      </c>
      <c r="BA19" s="611" t="str">
        <f>IFERROR(VLOOKUP(K19,【参考】数式用!$AX$3:$AY$59, 2, FALSE), "")</f>
        <v/>
      </c>
      <c r="BB19" s="609" t="str">
        <f t="shared" si="1"/>
        <v/>
      </c>
      <c r="BC19" s="612" t="str">
        <f t="shared" si="2"/>
        <v>入力済</v>
      </c>
      <c r="BD19" s="613" t="str">
        <f t="shared" si="17"/>
        <v/>
      </c>
      <c r="BE19" s="613" t="str">
        <f t="shared" si="3"/>
        <v/>
      </c>
      <c r="BF19" s="51"/>
      <c r="BG19" s="51"/>
      <c r="BH19" s="51"/>
      <c r="BI19" s="51"/>
      <c r="BJ19" s="51"/>
      <c r="BK19" s="51"/>
      <c r="BL19" s="51"/>
    </row>
    <row r="20" spans="1:64" s="181" customFormat="1" ht="109.9" customHeight="1" thickBot="1">
      <c r="A20" s="599">
        <v>9</v>
      </c>
      <c r="B20" s="913" t="str">
        <f>IF(基本情報入力シート!B48="","",基本情報入力シート!B48)</f>
        <v/>
      </c>
      <c r="C20" s="914"/>
      <c r="D20" s="914"/>
      <c r="E20" s="914"/>
      <c r="F20" s="915"/>
      <c r="G20" s="600" t="str">
        <f>IF(基本情報入力シート!L48="", "", 基本情報入力シート!L48)</f>
        <v/>
      </c>
      <c r="H20" s="600" t="str">
        <f>IF(基本情報入力シート!Q48="", "", 基本情報入力シート!Q48)</f>
        <v/>
      </c>
      <c r="I20" s="600" t="str">
        <f>IF(基本情報入力シート!V48="", "", 基本情報入力シート!V48)</f>
        <v/>
      </c>
      <c r="J20" s="600" t="str">
        <f>IF(基本情報入力シート!W48="", "", 基本情報入力シート!W48)</f>
        <v/>
      </c>
      <c r="K20" s="600"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01" t="s">
        <v>170</v>
      </c>
      <c r="Q20" s="225"/>
      <c r="R20" s="602" t="s">
        <v>253</v>
      </c>
      <c r="S20" s="225"/>
      <c r="T20" s="602" t="s">
        <v>254</v>
      </c>
      <c r="U20" s="225"/>
      <c r="V20" s="602" t="s">
        <v>253</v>
      </c>
      <c r="W20" s="225"/>
      <c r="X20" s="602" t="s">
        <v>255</v>
      </c>
      <c r="Y20" s="602" t="s">
        <v>256</v>
      </c>
      <c r="Z20" s="602" t="str">
        <f t="shared" si="16"/>
        <v/>
      </c>
      <c r="AA20" s="603" t="s">
        <v>257</v>
      </c>
      <c r="AB20" s="604" t="str">
        <f t="shared" si="28"/>
        <v/>
      </c>
      <c r="AC20" s="605" t="str">
        <f>IFERROR(ROUNDDOWN(ROUNDDOWN(ROUND(L20*VLOOKUP(K20,【参考】数式用!$A$4:$F$57,MATCH("処遇改善加算Ⅳ",【参考】数式用!$C$3:$F$3,0)+2,0),0)*M20,0)*Z20*0.5,0), "")</f>
        <v/>
      </c>
      <c r="AD20" s="245"/>
      <c r="AE20" s="246"/>
      <c r="AF20" s="246"/>
      <c r="AG20" s="247"/>
      <c r="AH20" s="248"/>
      <c r="AI20" s="249"/>
      <c r="AJ20" s="250"/>
      <c r="AK20" s="606" t="str">
        <f t="shared" si="4"/>
        <v/>
      </c>
      <c r="AL20" s="607" t="str">
        <f t="shared" si="0"/>
        <v/>
      </c>
      <c r="AM20" s="608"/>
      <c r="AN20" s="609" t="str">
        <f>IFERROR(VLOOKUP(K20,【参考】数式用!$A$2:$N$57,14,FALSE),"")</f>
        <v/>
      </c>
      <c r="AO20" s="609" t="str">
        <f t="shared" si="5"/>
        <v/>
      </c>
      <c r="AP20" s="610" t="str">
        <f t="shared" si="6"/>
        <v/>
      </c>
      <c r="AQ20" s="611" t="str">
        <f t="shared" si="7"/>
        <v>入力済</v>
      </c>
      <c r="AR20" s="609" t="str">
        <f t="shared" si="8"/>
        <v/>
      </c>
      <c r="AS20" s="611" t="str">
        <f t="shared" si="9"/>
        <v>入力済</v>
      </c>
      <c r="AT20" s="611" t="str">
        <f t="shared" si="10"/>
        <v/>
      </c>
      <c r="AU20" s="611" t="str">
        <f t="shared" si="29"/>
        <v/>
      </c>
      <c r="AV20" s="609" t="str">
        <f t="shared" si="12"/>
        <v/>
      </c>
      <c r="AW20" s="609" t="str">
        <f t="shared" si="13"/>
        <v>入力済</v>
      </c>
      <c r="AX20" s="611" t="str">
        <f>IFERROR(VLOOKUP(K20,【参考】数式用!$AR$3:$AS$49,2, FALSE), "")</f>
        <v/>
      </c>
      <c r="AY20" s="609" t="str">
        <f t="shared" si="14"/>
        <v/>
      </c>
      <c r="AZ20" s="612" t="str">
        <f t="shared" si="15"/>
        <v>入力済</v>
      </c>
      <c r="BA20" s="611" t="str">
        <f>IFERROR(VLOOKUP(K20,【参考】数式用!$AX$3:$AY$59, 2, FALSE), "")</f>
        <v/>
      </c>
      <c r="BB20" s="609" t="str">
        <f t="shared" si="1"/>
        <v/>
      </c>
      <c r="BC20" s="612" t="str">
        <f t="shared" si="2"/>
        <v>入力済</v>
      </c>
      <c r="BD20" s="613" t="str">
        <f t="shared" si="17"/>
        <v/>
      </c>
      <c r="BE20" s="613" t="str">
        <f t="shared" si="3"/>
        <v/>
      </c>
      <c r="BF20" s="51"/>
      <c r="BG20" s="51"/>
      <c r="BH20" s="51"/>
      <c r="BI20" s="51"/>
      <c r="BJ20" s="51"/>
      <c r="BK20" s="51"/>
      <c r="BL20" s="51"/>
    </row>
    <row r="21" spans="1:64" s="181" customFormat="1" ht="109.9" customHeight="1" thickBot="1">
      <c r="A21" s="599">
        <v>10</v>
      </c>
      <c r="B21" s="913" t="str">
        <f>IF(基本情報入力シート!B49="","",基本情報入力シート!B49)</f>
        <v/>
      </c>
      <c r="C21" s="914"/>
      <c r="D21" s="914"/>
      <c r="E21" s="914"/>
      <c r="F21" s="915"/>
      <c r="G21" s="600" t="str">
        <f>IF(基本情報入力シート!L49="", "", 基本情報入力シート!L49)</f>
        <v/>
      </c>
      <c r="H21" s="600" t="str">
        <f>IF(基本情報入力シート!Q49="", "", 基本情報入力シート!Q49)</f>
        <v/>
      </c>
      <c r="I21" s="600" t="str">
        <f>IF(基本情報入力シート!V49="", "", 基本情報入力シート!V49)</f>
        <v/>
      </c>
      <c r="J21" s="600" t="str">
        <f>IF(基本情報入力シート!W49="", "", 基本情報入力シート!W49)</f>
        <v/>
      </c>
      <c r="K21" s="600"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01" t="s">
        <v>170</v>
      </c>
      <c r="Q21" s="225"/>
      <c r="R21" s="602" t="s">
        <v>253</v>
      </c>
      <c r="S21" s="225"/>
      <c r="T21" s="602" t="s">
        <v>254</v>
      </c>
      <c r="U21" s="225"/>
      <c r="V21" s="602" t="s">
        <v>253</v>
      </c>
      <c r="W21" s="225"/>
      <c r="X21" s="602" t="s">
        <v>172</v>
      </c>
      <c r="Y21" s="602" t="s">
        <v>256</v>
      </c>
      <c r="Z21" s="602" t="str">
        <f t="shared" si="16"/>
        <v/>
      </c>
      <c r="AA21" s="603" t="s">
        <v>257</v>
      </c>
      <c r="AB21" s="604" t="str">
        <f t="shared" si="28"/>
        <v/>
      </c>
      <c r="AC21" s="605" t="str">
        <f>IFERROR(ROUNDDOWN(ROUNDDOWN(ROUND(L21*VLOOKUP(K21,【参考】数式用!$A$4:$F$57,MATCH("処遇改善加算Ⅳ",【参考】数式用!$C$3:$F$3,0)+2,0),0)*M21,0)*Z21*0.5,0), "")</f>
        <v/>
      </c>
      <c r="AD21" s="245"/>
      <c r="AE21" s="246"/>
      <c r="AF21" s="246"/>
      <c r="AG21" s="247"/>
      <c r="AH21" s="248"/>
      <c r="AI21" s="249"/>
      <c r="AJ21" s="250"/>
      <c r="AK21" s="606" t="str">
        <f t="shared" si="4"/>
        <v/>
      </c>
      <c r="AL21" s="607" t="str">
        <f t="shared" si="0"/>
        <v/>
      </c>
      <c r="AM21" s="608"/>
      <c r="AN21" s="609" t="str">
        <f>IFERROR(VLOOKUP(K21,【参考】数式用!$A$2:$N$57,14,FALSE),"")</f>
        <v/>
      </c>
      <c r="AO21" s="609" t="str">
        <f t="shared" si="5"/>
        <v/>
      </c>
      <c r="AP21" s="610" t="str">
        <f t="shared" si="6"/>
        <v/>
      </c>
      <c r="AQ21" s="611" t="str">
        <f t="shared" si="7"/>
        <v>入力済</v>
      </c>
      <c r="AR21" s="609" t="str">
        <f t="shared" si="8"/>
        <v/>
      </c>
      <c r="AS21" s="611" t="str">
        <f t="shared" si="9"/>
        <v>入力済</v>
      </c>
      <c r="AT21" s="611" t="str">
        <f t="shared" si="10"/>
        <v/>
      </c>
      <c r="AU21" s="611" t="str">
        <f t="shared" si="29"/>
        <v/>
      </c>
      <c r="AV21" s="609" t="str">
        <f t="shared" si="12"/>
        <v/>
      </c>
      <c r="AW21" s="609" t="str">
        <f t="shared" si="13"/>
        <v>入力済</v>
      </c>
      <c r="AX21" s="611" t="str">
        <f>IFERROR(VLOOKUP(K21,【参考】数式用!$AR$3:$AS$49,2, FALSE), "")</f>
        <v/>
      </c>
      <c r="AY21" s="609" t="str">
        <f t="shared" si="14"/>
        <v/>
      </c>
      <c r="AZ21" s="612" t="str">
        <f t="shared" si="15"/>
        <v>入力済</v>
      </c>
      <c r="BA21" s="611" t="str">
        <f>IFERROR(VLOOKUP(K21,【参考】数式用!$AX$3:$AY$59, 2, FALSE), "")</f>
        <v/>
      </c>
      <c r="BB21" s="609" t="str">
        <f t="shared" si="1"/>
        <v/>
      </c>
      <c r="BC21" s="612" t="str">
        <f t="shared" si="2"/>
        <v>入力済</v>
      </c>
      <c r="BD21" s="613" t="str">
        <f t="shared" si="17"/>
        <v/>
      </c>
      <c r="BE21" s="613" t="str">
        <f t="shared" si="3"/>
        <v/>
      </c>
      <c r="BF21" s="51"/>
      <c r="BG21" s="51"/>
      <c r="BH21" s="51"/>
      <c r="BI21" s="51"/>
      <c r="BJ21" s="51"/>
      <c r="BK21" s="51"/>
      <c r="BL21" s="51"/>
    </row>
    <row r="22" spans="1:64" s="181" customFormat="1" ht="109.9" customHeight="1" thickBot="1">
      <c r="A22" s="599">
        <v>11</v>
      </c>
      <c r="B22" s="913" t="str">
        <f>IF(基本情報入力シート!B50="","",基本情報入力シート!B50)</f>
        <v/>
      </c>
      <c r="C22" s="914"/>
      <c r="D22" s="914"/>
      <c r="E22" s="914"/>
      <c r="F22" s="915"/>
      <c r="G22" s="600" t="str">
        <f>IF(基本情報入力シート!L50="", "", 基本情報入力シート!L50)</f>
        <v/>
      </c>
      <c r="H22" s="600" t="str">
        <f>IF(基本情報入力シート!Q50="", "", 基本情報入力シート!Q50)</f>
        <v/>
      </c>
      <c r="I22" s="600" t="str">
        <f>IF(基本情報入力シート!V50="", "", 基本情報入力シート!V50)</f>
        <v/>
      </c>
      <c r="J22" s="600" t="str">
        <f>IF(基本情報入力シート!W50="", "", 基本情報入力シート!W50)</f>
        <v/>
      </c>
      <c r="K22" s="600"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01" t="s">
        <v>170</v>
      </c>
      <c r="Q22" s="225"/>
      <c r="R22" s="602" t="s">
        <v>253</v>
      </c>
      <c r="S22" s="225"/>
      <c r="T22" s="602" t="s">
        <v>254</v>
      </c>
      <c r="U22" s="225"/>
      <c r="V22" s="602" t="s">
        <v>253</v>
      </c>
      <c r="W22" s="225"/>
      <c r="X22" s="602" t="s">
        <v>255</v>
      </c>
      <c r="Y22" s="602" t="s">
        <v>256</v>
      </c>
      <c r="Z22" s="602" t="str">
        <f t="shared" si="16"/>
        <v/>
      </c>
      <c r="AA22" s="603" t="s">
        <v>257</v>
      </c>
      <c r="AB22" s="604" t="str">
        <f t="shared" si="28"/>
        <v/>
      </c>
      <c r="AC22" s="605" t="str">
        <f>IFERROR(ROUNDDOWN(ROUNDDOWN(ROUND(L22*VLOOKUP(K22,【参考】数式用!$A$4:$F$57,MATCH("処遇改善加算Ⅳ",【参考】数式用!$C$3:$F$3,0)+2,0),0)*M22,0)*Z22*0.5,0), "")</f>
        <v/>
      </c>
      <c r="AD22" s="245"/>
      <c r="AE22" s="246"/>
      <c r="AF22" s="246"/>
      <c r="AG22" s="247"/>
      <c r="AH22" s="248"/>
      <c r="AI22" s="249"/>
      <c r="AJ22" s="250"/>
      <c r="AK22" s="606" t="str">
        <f t="shared" si="4"/>
        <v/>
      </c>
      <c r="AL22" s="607" t="str">
        <f t="shared" si="0"/>
        <v/>
      </c>
      <c r="AM22" s="608"/>
      <c r="AN22" s="609" t="str">
        <f>IFERROR(VLOOKUP(K22,【参考】数式用!$A$2:$N$57,14,FALSE),"")</f>
        <v/>
      </c>
      <c r="AO22" s="609" t="str">
        <f t="shared" si="5"/>
        <v/>
      </c>
      <c r="AP22" s="610" t="str">
        <f t="shared" si="6"/>
        <v/>
      </c>
      <c r="AQ22" s="611" t="str">
        <f t="shared" si="7"/>
        <v>入力済</v>
      </c>
      <c r="AR22" s="609" t="str">
        <f t="shared" si="8"/>
        <v/>
      </c>
      <c r="AS22" s="611" t="str">
        <f t="shared" si="9"/>
        <v>入力済</v>
      </c>
      <c r="AT22" s="611" t="str">
        <f t="shared" si="10"/>
        <v/>
      </c>
      <c r="AU22" s="611" t="str">
        <f t="shared" si="29"/>
        <v/>
      </c>
      <c r="AV22" s="609" t="str">
        <f t="shared" si="12"/>
        <v/>
      </c>
      <c r="AW22" s="609" t="str">
        <f t="shared" si="13"/>
        <v>入力済</v>
      </c>
      <c r="AX22" s="611" t="str">
        <f>IFERROR(VLOOKUP(K22,【参考】数式用!$AR$3:$AS$49,2, FALSE), "")</f>
        <v/>
      </c>
      <c r="AY22" s="609" t="str">
        <f t="shared" si="14"/>
        <v/>
      </c>
      <c r="AZ22" s="612" t="str">
        <f t="shared" si="15"/>
        <v>入力済</v>
      </c>
      <c r="BA22" s="611" t="str">
        <f>IFERROR(VLOOKUP(K22,【参考】数式用!$AX$3:$AY$59, 2, FALSE), "")</f>
        <v/>
      </c>
      <c r="BB22" s="609" t="str">
        <f t="shared" si="1"/>
        <v/>
      </c>
      <c r="BC22" s="612" t="str">
        <f t="shared" si="2"/>
        <v>入力済</v>
      </c>
      <c r="BD22" s="613" t="str">
        <f t="shared" si="17"/>
        <v/>
      </c>
      <c r="BE22" s="613" t="str">
        <f t="shared" si="3"/>
        <v/>
      </c>
      <c r="BF22" s="51"/>
      <c r="BG22" s="51"/>
      <c r="BH22" s="51"/>
      <c r="BI22" s="51"/>
      <c r="BJ22" s="51"/>
      <c r="BK22" s="51"/>
      <c r="BL22" s="51"/>
    </row>
    <row r="23" spans="1:64" s="181" customFormat="1" ht="109.9" customHeight="1" thickBot="1">
      <c r="A23" s="599">
        <v>12</v>
      </c>
      <c r="B23" s="913" t="str">
        <f>IF(基本情報入力シート!B51="","",基本情報入力シート!B51)</f>
        <v/>
      </c>
      <c r="C23" s="914"/>
      <c r="D23" s="914"/>
      <c r="E23" s="914"/>
      <c r="F23" s="915"/>
      <c r="G23" s="600" t="str">
        <f>IF(基本情報入力シート!L51="", "", 基本情報入力シート!L51)</f>
        <v/>
      </c>
      <c r="H23" s="600" t="str">
        <f>IF(基本情報入力シート!Q51="", "", 基本情報入力シート!Q51)</f>
        <v/>
      </c>
      <c r="I23" s="600" t="str">
        <f>IF(基本情報入力シート!V51="", "", 基本情報入力シート!V51)</f>
        <v/>
      </c>
      <c r="J23" s="600" t="str">
        <f>IF(基本情報入力シート!W51="", "", 基本情報入力シート!W51)</f>
        <v/>
      </c>
      <c r="K23" s="600"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01" t="s">
        <v>170</v>
      </c>
      <c r="Q23" s="225"/>
      <c r="R23" s="602" t="s">
        <v>253</v>
      </c>
      <c r="S23" s="225"/>
      <c r="T23" s="602" t="s">
        <v>254</v>
      </c>
      <c r="U23" s="225"/>
      <c r="V23" s="602" t="s">
        <v>253</v>
      </c>
      <c r="W23" s="225"/>
      <c r="X23" s="602" t="s">
        <v>255</v>
      </c>
      <c r="Y23" s="602" t="s">
        <v>256</v>
      </c>
      <c r="Z23" s="602" t="str">
        <f t="shared" si="16"/>
        <v/>
      </c>
      <c r="AA23" s="603" t="s">
        <v>257</v>
      </c>
      <c r="AB23" s="604" t="str">
        <f t="shared" si="28"/>
        <v/>
      </c>
      <c r="AC23" s="605" t="str">
        <f>IFERROR(ROUNDDOWN(ROUNDDOWN(ROUND(L23*VLOOKUP(K23,【参考】数式用!$A$4:$F$57,MATCH("処遇改善加算Ⅳ",【参考】数式用!$C$3:$F$3,0)+2,0),0)*M23,0)*Z23*0.5,0), "")</f>
        <v/>
      </c>
      <c r="AD23" s="245"/>
      <c r="AE23" s="246"/>
      <c r="AF23" s="246"/>
      <c r="AG23" s="247"/>
      <c r="AH23" s="248"/>
      <c r="AI23" s="249"/>
      <c r="AJ23" s="250"/>
      <c r="AK23" s="606" t="str">
        <f t="shared" si="4"/>
        <v/>
      </c>
      <c r="AL23" s="607" t="str">
        <f t="shared" si="0"/>
        <v/>
      </c>
      <c r="AM23" s="608"/>
      <c r="AN23" s="609" t="str">
        <f>IFERROR(VLOOKUP(K23,【参考】数式用!$A$2:$N$57,14,FALSE),"")</f>
        <v/>
      </c>
      <c r="AO23" s="609" t="str">
        <f t="shared" si="5"/>
        <v/>
      </c>
      <c r="AP23" s="610" t="str">
        <f t="shared" si="6"/>
        <v/>
      </c>
      <c r="AQ23" s="611" t="str">
        <f t="shared" si="7"/>
        <v>入力済</v>
      </c>
      <c r="AR23" s="609" t="str">
        <f t="shared" si="8"/>
        <v/>
      </c>
      <c r="AS23" s="611" t="str">
        <f t="shared" si="9"/>
        <v>入力済</v>
      </c>
      <c r="AT23" s="611" t="str">
        <f t="shared" si="10"/>
        <v/>
      </c>
      <c r="AU23" s="611" t="str">
        <f t="shared" si="29"/>
        <v/>
      </c>
      <c r="AV23" s="609" t="str">
        <f t="shared" si="12"/>
        <v/>
      </c>
      <c r="AW23" s="609" t="str">
        <f t="shared" si="13"/>
        <v>入力済</v>
      </c>
      <c r="AX23" s="611" t="str">
        <f>IFERROR(VLOOKUP(K23,【参考】数式用!$AR$3:$AS$49,2, FALSE), "")</f>
        <v/>
      </c>
      <c r="AY23" s="609" t="str">
        <f t="shared" si="14"/>
        <v/>
      </c>
      <c r="AZ23" s="612" t="str">
        <f t="shared" si="15"/>
        <v>入力済</v>
      </c>
      <c r="BA23" s="611" t="str">
        <f>IFERROR(VLOOKUP(K23,【参考】数式用!$AX$3:$AY$59, 2, FALSE), "")</f>
        <v/>
      </c>
      <c r="BB23" s="609" t="str">
        <f t="shared" si="1"/>
        <v/>
      </c>
      <c r="BC23" s="612" t="str">
        <f t="shared" si="2"/>
        <v>入力済</v>
      </c>
      <c r="BD23" s="613" t="str">
        <f t="shared" si="17"/>
        <v/>
      </c>
      <c r="BE23" s="613" t="str">
        <f t="shared" si="3"/>
        <v/>
      </c>
      <c r="BF23" s="51"/>
      <c r="BG23" s="51"/>
      <c r="BH23" s="51"/>
      <c r="BI23" s="51"/>
      <c r="BJ23" s="51"/>
      <c r="BK23" s="51"/>
      <c r="BL23" s="51"/>
    </row>
    <row r="24" spans="1:64" s="181" customFormat="1" ht="109.9" customHeight="1" thickBot="1">
      <c r="A24" s="599">
        <v>13</v>
      </c>
      <c r="B24" s="913" t="str">
        <f>IF(基本情報入力シート!B52="","",基本情報入力シート!B52)</f>
        <v/>
      </c>
      <c r="C24" s="914"/>
      <c r="D24" s="914"/>
      <c r="E24" s="914"/>
      <c r="F24" s="915"/>
      <c r="G24" s="600" t="str">
        <f>IF(基本情報入力シート!L52="", "", 基本情報入力シート!L52)</f>
        <v/>
      </c>
      <c r="H24" s="600" t="str">
        <f>IF(基本情報入力シート!Q52="", "", 基本情報入力シート!Q52)</f>
        <v/>
      </c>
      <c r="I24" s="600" t="str">
        <f>IF(基本情報入力シート!V52="", "", 基本情報入力シート!V52)</f>
        <v/>
      </c>
      <c r="J24" s="600" t="str">
        <f>IF(基本情報入力シート!W52="", "", 基本情報入力シート!W52)</f>
        <v/>
      </c>
      <c r="K24" s="600"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01" t="s">
        <v>170</v>
      </c>
      <c r="Q24" s="225"/>
      <c r="R24" s="602" t="s">
        <v>253</v>
      </c>
      <c r="S24" s="225"/>
      <c r="T24" s="602" t="s">
        <v>254</v>
      </c>
      <c r="U24" s="225"/>
      <c r="V24" s="602" t="s">
        <v>253</v>
      </c>
      <c r="W24" s="225"/>
      <c r="X24" s="602" t="s">
        <v>255</v>
      </c>
      <c r="Y24" s="602" t="s">
        <v>256</v>
      </c>
      <c r="Z24" s="602" t="str">
        <f t="shared" si="16"/>
        <v/>
      </c>
      <c r="AA24" s="603" t="s">
        <v>257</v>
      </c>
      <c r="AB24" s="604" t="str">
        <f t="shared" si="28"/>
        <v/>
      </c>
      <c r="AC24" s="605" t="str">
        <f>IFERROR(ROUNDDOWN(ROUNDDOWN(ROUND(L24*VLOOKUP(K24,【参考】数式用!$A$4:$F$57,MATCH("処遇改善加算Ⅳ",【参考】数式用!$C$3:$F$3,0)+2,0),0)*M24,0)*Z24*0.5,0), "")</f>
        <v/>
      </c>
      <c r="AD24" s="245"/>
      <c r="AE24" s="246"/>
      <c r="AF24" s="246"/>
      <c r="AG24" s="247"/>
      <c r="AH24" s="248"/>
      <c r="AI24" s="249"/>
      <c r="AJ24" s="250"/>
      <c r="AK24" s="606" t="str">
        <f t="shared" si="4"/>
        <v/>
      </c>
      <c r="AL24" s="607" t="str">
        <f t="shared" si="0"/>
        <v/>
      </c>
      <c r="AM24" s="608"/>
      <c r="AN24" s="609" t="str">
        <f>IFERROR(VLOOKUP(K24,【参考】数式用!$A$2:$N$57,14,FALSE),"")</f>
        <v/>
      </c>
      <c r="AO24" s="609" t="str">
        <f t="shared" si="5"/>
        <v/>
      </c>
      <c r="AP24" s="610" t="str">
        <f t="shared" si="6"/>
        <v/>
      </c>
      <c r="AQ24" s="611" t="str">
        <f t="shared" si="7"/>
        <v>入力済</v>
      </c>
      <c r="AR24" s="609" t="str">
        <f t="shared" si="8"/>
        <v/>
      </c>
      <c r="AS24" s="611" t="str">
        <f t="shared" si="9"/>
        <v>入力済</v>
      </c>
      <c r="AT24" s="611" t="str">
        <f t="shared" si="10"/>
        <v/>
      </c>
      <c r="AU24" s="611" t="str">
        <f t="shared" si="29"/>
        <v/>
      </c>
      <c r="AV24" s="609" t="str">
        <f t="shared" si="12"/>
        <v/>
      </c>
      <c r="AW24" s="609" t="str">
        <f t="shared" si="13"/>
        <v>入力済</v>
      </c>
      <c r="AX24" s="611" t="str">
        <f>IFERROR(VLOOKUP(K24,【参考】数式用!$AR$3:$AS$49,2, FALSE), "")</f>
        <v/>
      </c>
      <c r="AY24" s="609" t="str">
        <f t="shared" si="14"/>
        <v/>
      </c>
      <c r="AZ24" s="612" t="str">
        <f t="shared" si="15"/>
        <v>入力済</v>
      </c>
      <c r="BA24" s="611" t="str">
        <f>IFERROR(VLOOKUP(K24,【参考】数式用!$AX$3:$AY$59, 2, FALSE), "")</f>
        <v/>
      </c>
      <c r="BB24" s="609" t="str">
        <f t="shared" si="1"/>
        <v/>
      </c>
      <c r="BC24" s="612" t="str">
        <f t="shared" si="2"/>
        <v>入力済</v>
      </c>
      <c r="BD24" s="613" t="str">
        <f t="shared" si="17"/>
        <v/>
      </c>
      <c r="BE24" s="613" t="str">
        <f t="shared" si="3"/>
        <v/>
      </c>
      <c r="BF24" s="51"/>
      <c r="BG24" s="51"/>
      <c r="BH24" s="51"/>
      <c r="BI24" s="51"/>
      <c r="BJ24" s="51"/>
      <c r="BK24" s="51"/>
      <c r="BL24" s="51"/>
    </row>
    <row r="25" spans="1:64" s="181" customFormat="1" ht="109.9" customHeight="1" thickBot="1">
      <c r="A25" s="599">
        <v>14</v>
      </c>
      <c r="B25" s="913" t="str">
        <f>IF(基本情報入力シート!B53="","",基本情報入力シート!B53)</f>
        <v/>
      </c>
      <c r="C25" s="914"/>
      <c r="D25" s="914"/>
      <c r="E25" s="914"/>
      <c r="F25" s="915"/>
      <c r="G25" s="600" t="str">
        <f>IF(基本情報入力シート!L53="", "", 基本情報入力シート!L53)</f>
        <v/>
      </c>
      <c r="H25" s="600" t="str">
        <f>IF(基本情報入力シート!Q53="", "", 基本情報入力シート!Q53)</f>
        <v/>
      </c>
      <c r="I25" s="600" t="str">
        <f>IF(基本情報入力シート!V53="", "", 基本情報入力シート!V53)</f>
        <v/>
      </c>
      <c r="J25" s="600" t="str">
        <f>IF(基本情報入力シート!W53="", "", 基本情報入力シート!W53)</f>
        <v/>
      </c>
      <c r="K25" s="600"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01" t="s">
        <v>170</v>
      </c>
      <c r="Q25" s="225"/>
      <c r="R25" s="602" t="s">
        <v>253</v>
      </c>
      <c r="S25" s="225"/>
      <c r="T25" s="602" t="s">
        <v>254</v>
      </c>
      <c r="U25" s="225"/>
      <c r="V25" s="602" t="s">
        <v>253</v>
      </c>
      <c r="W25" s="225"/>
      <c r="X25" s="602" t="s">
        <v>172</v>
      </c>
      <c r="Y25" s="602" t="s">
        <v>256</v>
      </c>
      <c r="Z25" s="602" t="str">
        <f t="shared" si="16"/>
        <v/>
      </c>
      <c r="AA25" s="603" t="s">
        <v>257</v>
      </c>
      <c r="AB25" s="604" t="str">
        <f t="shared" si="28"/>
        <v/>
      </c>
      <c r="AC25" s="605" t="str">
        <f>IFERROR(ROUNDDOWN(ROUNDDOWN(ROUND(L25*VLOOKUP(K25,【参考】数式用!$A$4:$F$57,MATCH("処遇改善加算Ⅳ",【参考】数式用!$C$3:$F$3,0)+2,0),0)*M25,0)*Z25*0.5,0), "")</f>
        <v/>
      </c>
      <c r="AD25" s="245"/>
      <c r="AE25" s="246"/>
      <c r="AF25" s="246"/>
      <c r="AG25" s="247"/>
      <c r="AH25" s="248"/>
      <c r="AI25" s="249"/>
      <c r="AJ25" s="250"/>
      <c r="AK25" s="606" t="str">
        <f t="shared" si="4"/>
        <v/>
      </c>
      <c r="AL25" s="607" t="str">
        <f t="shared" si="0"/>
        <v/>
      </c>
      <c r="AM25" s="608"/>
      <c r="AN25" s="609" t="str">
        <f>IFERROR(VLOOKUP(K25,【参考】数式用!$A$2:$N$57,14,FALSE),"")</f>
        <v/>
      </c>
      <c r="AO25" s="609" t="str">
        <f t="shared" si="5"/>
        <v/>
      </c>
      <c r="AP25" s="610" t="str">
        <f t="shared" si="6"/>
        <v/>
      </c>
      <c r="AQ25" s="611" t="str">
        <f t="shared" si="7"/>
        <v>入力済</v>
      </c>
      <c r="AR25" s="609" t="str">
        <f t="shared" si="8"/>
        <v/>
      </c>
      <c r="AS25" s="611" t="str">
        <f t="shared" si="9"/>
        <v>入力済</v>
      </c>
      <c r="AT25" s="611" t="str">
        <f t="shared" si="10"/>
        <v/>
      </c>
      <c r="AU25" s="611" t="str">
        <f t="shared" si="29"/>
        <v/>
      </c>
      <c r="AV25" s="609" t="str">
        <f t="shared" si="12"/>
        <v/>
      </c>
      <c r="AW25" s="609" t="str">
        <f t="shared" si="13"/>
        <v>入力済</v>
      </c>
      <c r="AX25" s="611" t="str">
        <f>IFERROR(VLOOKUP(K25,【参考】数式用!$AR$3:$AS$49,2, FALSE), "")</f>
        <v/>
      </c>
      <c r="AY25" s="609" t="str">
        <f t="shared" si="14"/>
        <v/>
      </c>
      <c r="AZ25" s="612" t="str">
        <f t="shared" si="15"/>
        <v>入力済</v>
      </c>
      <c r="BA25" s="611" t="str">
        <f>IFERROR(VLOOKUP(K25,【参考】数式用!$AX$3:$AY$59, 2, FALSE), "")</f>
        <v/>
      </c>
      <c r="BB25" s="609" t="str">
        <f t="shared" si="1"/>
        <v/>
      </c>
      <c r="BC25" s="612" t="str">
        <f t="shared" si="2"/>
        <v>入力済</v>
      </c>
      <c r="BD25" s="613" t="str">
        <f t="shared" si="17"/>
        <v/>
      </c>
      <c r="BE25" s="613" t="str">
        <f t="shared" si="3"/>
        <v/>
      </c>
      <c r="BF25" s="51"/>
      <c r="BG25" s="51"/>
      <c r="BH25" s="51"/>
      <c r="BI25" s="51"/>
      <c r="BJ25" s="51"/>
      <c r="BK25" s="51"/>
      <c r="BL25" s="51"/>
    </row>
    <row r="26" spans="1:64" s="181" customFormat="1" ht="109.9" customHeight="1" thickBot="1">
      <c r="A26" s="599">
        <v>15</v>
      </c>
      <c r="B26" s="913" t="str">
        <f>IF(基本情報入力シート!B54="","",基本情報入力シート!B54)</f>
        <v/>
      </c>
      <c r="C26" s="914"/>
      <c r="D26" s="914"/>
      <c r="E26" s="914"/>
      <c r="F26" s="915"/>
      <c r="G26" s="600" t="str">
        <f>IF(基本情報入力シート!L54="", "", 基本情報入力シート!L54)</f>
        <v/>
      </c>
      <c r="H26" s="600" t="str">
        <f>IF(基本情報入力シート!Q54="", "", 基本情報入力シート!Q54)</f>
        <v/>
      </c>
      <c r="I26" s="600" t="str">
        <f>IF(基本情報入力シート!V54="", "", 基本情報入力シート!V54)</f>
        <v/>
      </c>
      <c r="J26" s="600" t="str">
        <f>IF(基本情報入力シート!W54="", "", 基本情報入力シート!W54)</f>
        <v/>
      </c>
      <c r="K26" s="600"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01" t="s">
        <v>170</v>
      </c>
      <c r="Q26" s="225"/>
      <c r="R26" s="602" t="s">
        <v>253</v>
      </c>
      <c r="S26" s="225"/>
      <c r="T26" s="602" t="s">
        <v>254</v>
      </c>
      <c r="U26" s="225"/>
      <c r="V26" s="602" t="s">
        <v>253</v>
      </c>
      <c r="W26" s="225"/>
      <c r="X26" s="602" t="s">
        <v>172</v>
      </c>
      <c r="Y26" s="602" t="s">
        <v>256</v>
      </c>
      <c r="Z26" s="602" t="str">
        <f t="shared" si="16"/>
        <v/>
      </c>
      <c r="AA26" s="603" t="s">
        <v>257</v>
      </c>
      <c r="AB26" s="604" t="str">
        <f t="shared" si="28"/>
        <v/>
      </c>
      <c r="AC26" s="605" t="str">
        <f>IFERROR(ROUNDDOWN(ROUNDDOWN(ROUND(L26*VLOOKUP(K26,【参考】数式用!$A$4:$F$57,MATCH("処遇改善加算Ⅳ",【参考】数式用!$C$3:$F$3,0)+2,0),0)*M26,0)*Z26*0.5,0), "")</f>
        <v/>
      </c>
      <c r="AD26" s="245"/>
      <c r="AE26" s="246"/>
      <c r="AF26" s="246"/>
      <c r="AG26" s="247"/>
      <c r="AH26" s="248"/>
      <c r="AI26" s="249"/>
      <c r="AJ26" s="250"/>
      <c r="AK26" s="606" t="str">
        <f t="shared" si="4"/>
        <v/>
      </c>
      <c r="AL26" s="607" t="str">
        <f t="shared" si="0"/>
        <v/>
      </c>
      <c r="AM26" s="608"/>
      <c r="AN26" s="609" t="str">
        <f>IFERROR(VLOOKUP(K26,【参考】数式用!$A$2:$N$57,14,FALSE),"")</f>
        <v/>
      </c>
      <c r="AO26" s="609" t="str">
        <f t="shared" si="5"/>
        <v/>
      </c>
      <c r="AP26" s="610" t="str">
        <f t="shared" si="6"/>
        <v/>
      </c>
      <c r="AQ26" s="611" t="str">
        <f t="shared" si="7"/>
        <v>入力済</v>
      </c>
      <c r="AR26" s="609" t="str">
        <f t="shared" si="8"/>
        <v/>
      </c>
      <c r="AS26" s="611" t="str">
        <f t="shared" si="9"/>
        <v>入力済</v>
      </c>
      <c r="AT26" s="611" t="str">
        <f t="shared" si="10"/>
        <v/>
      </c>
      <c r="AU26" s="611" t="str">
        <f t="shared" si="29"/>
        <v/>
      </c>
      <c r="AV26" s="609" t="str">
        <f t="shared" si="12"/>
        <v/>
      </c>
      <c r="AW26" s="609" t="str">
        <f t="shared" si="13"/>
        <v>入力済</v>
      </c>
      <c r="AX26" s="611" t="str">
        <f>IFERROR(VLOOKUP(K26,【参考】数式用!$AR$3:$AS$49,2, FALSE), "")</f>
        <v/>
      </c>
      <c r="AY26" s="609" t="str">
        <f t="shared" si="14"/>
        <v/>
      </c>
      <c r="AZ26" s="612" t="str">
        <f t="shared" si="15"/>
        <v>入力済</v>
      </c>
      <c r="BA26" s="611" t="str">
        <f>IFERROR(VLOOKUP(K26,【参考】数式用!$AX$3:$AY$59, 2, FALSE), "")</f>
        <v/>
      </c>
      <c r="BB26" s="609" t="str">
        <f t="shared" si="1"/>
        <v/>
      </c>
      <c r="BC26" s="612" t="str">
        <f t="shared" si="2"/>
        <v>入力済</v>
      </c>
      <c r="BD26" s="613" t="str">
        <f t="shared" si="17"/>
        <v/>
      </c>
      <c r="BE26" s="613" t="str">
        <f t="shared" si="3"/>
        <v/>
      </c>
      <c r="BF26" s="51"/>
      <c r="BG26" s="51"/>
      <c r="BH26" s="51"/>
      <c r="BI26" s="51"/>
      <c r="BJ26" s="51"/>
      <c r="BK26" s="51"/>
      <c r="BL26" s="51"/>
    </row>
    <row r="27" spans="1:64" s="181" customFormat="1" ht="109.9" customHeight="1" thickBot="1">
      <c r="A27" s="599">
        <v>16</v>
      </c>
      <c r="B27" s="913" t="str">
        <f>IF(基本情報入力シート!B55="","",基本情報入力シート!B55)</f>
        <v/>
      </c>
      <c r="C27" s="914"/>
      <c r="D27" s="914"/>
      <c r="E27" s="914"/>
      <c r="F27" s="915"/>
      <c r="G27" s="600" t="str">
        <f>IF(基本情報入力シート!L55="", "", 基本情報入力シート!L55)</f>
        <v/>
      </c>
      <c r="H27" s="600" t="str">
        <f>IF(基本情報入力シート!Q55="", "", 基本情報入力シート!Q55)</f>
        <v/>
      </c>
      <c r="I27" s="600" t="str">
        <f>IF(基本情報入力シート!V55="", "", 基本情報入力シート!V55)</f>
        <v/>
      </c>
      <c r="J27" s="600" t="str">
        <f>IF(基本情報入力シート!W55="", "", 基本情報入力シート!W55)</f>
        <v/>
      </c>
      <c r="K27" s="600"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01" t="s">
        <v>170</v>
      </c>
      <c r="Q27" s="225"/>
      <c r="R27" s="602" t="s">
        <v>253</v>
      </c>
      <c r="S27" s="225"/>
      <c r="T27" s="602" t="s">
        <v>254</v>
      </c>
      <c r="U27" s="225"/>
      <c r="V27" s="602" t="s">
        <v>253</v>
      </c>
      <c r="W27" s="225"/>
      <c r="X27" s="602" t="s">
        <v>255</v>
      </c>
      <c r="Y27" s="602" t="s">
        <v>256</v>
      </c>
      <c r="Z27" s="602" t="str">
        <f t="shared" si="16"/>
        <v/>
      </c>
      <c r="AA27" s="603" t="s">
        <v>257</v>
      </c>
      <c r="AB27" s="604" t="str">
        <f t="shared" si="28"/>
        <v/>
      </c>
      <c r="AC27" s="605" t="str">
        <f>IFERROR(ROUNDDOWN(ROUNDDOWN(ROUND(L27*VLOOKUP(K27,【参考】数式用!$A$4:$F$57,MATCH("処遇改善加算Ⅳ",【参考】数式用!$C$3:$F$3,0)+2,0),0)*M27,0)*Z27*0.5,0), "")</f>
        <v/>
      </c>
      <c r="AD27" s="245"/>
      <c r="AE27" s="246"/>
      <c r="AF27" s="246"/>
      <c r="AG27" s="247"/>
      <c r="AH27" s="248"/>
      <c r="AI27" s="249"/>
      <c r="AJ27" s="250"/>
      <c r="AK27" s="606" t="str">
        <f t="shared" si="4"/>
        <v/>
      </c>
      <c r="AL27" s="607" t="str">
        <f t="shared" si="0"/>
        <v/>
      </c>
      <c r="AM27" s="608"/>
      <c r="AN27" s="609" t="str">
        <f>IFERROR(VLOOKUP(K27,【参考】数式用!$A$2:$N$57,14,FALSE),"")</f>
        <v/>
      </c>
      <c r="AO27" s="609" t="str">
        <f t="shared" si="5"/>
        <v/>
      </c>
      <c r="AP27" s="610" t="str">
        <f t="shared" si="6"/>
        <v/>
      </c>
      <c r="AQ27" s="611" t="str">
        <f t="shared" si="7"/>
        <v>入力済</v>
      </c>
      <c r="AR27" s="609" t="str">
        <f t="shared" si="8"/>
        <v/>
      </c>
      <c r="AS27" s="611" t="str">
        <f t="shared" si="9"/>
        <v>入力済</v>
      </c>
      <c r="AT27" s="611" t="str">
        <f t="shared" si="10"/>
        <v/>
      </c>
      <c r="AU27" s="611" t="str">
        <f t="shared" si="29"/>
        <v/>
      </c>
      <c r="AV27" s="609" t="str">
        <f t="shared" si="12"/>
        <v/>
      </c>
      <c r="AW27" s="609" t="str">
        <f t="shared" si="13"/>
        <v>入力済</v>
      </c>
      <c r="AX27" s="611" t="str">
        <f>IFERROR(VLOOKUP(K27,【参考】数式用!$AR$3:$AS$49,2, FALSE), "")</f>
        <v/>
      </c>
      <c r="AY27" s="609" t="str">
        <f t="shared" si="14"/>
        <v/>
      </c>
      <c r="AZ27" s="612" t="str">
        <f t="shared" si="15"/>
        <v>入力済</v>
      </c>
      <c r="BA27" s="611" t="str">
        <f>IFERROR(VLOOKUP(K27,【参考】数式用!$AX$3:$AY$59, 2, FALSE), "")</f>
        <v/>
      </c>
      <c r="BB27" s="609" t="str">
        <f t="shared" si="1"/>
        <v/>
      </c>
      <c r="BC27" s="612" t="str">
        <f t="shared" si="2"/>
        <v>入力済</v>
      </c>
      <c r="BD27" s="613" t="str">
        <f t="shared" si="17"/>
        <v/>
      </c>
      <c r="BE27" s="613" t="str">
        <f t="shared" si="3"/>
        <v/>
      </c>
      <c r="BF27" s="51"/>
      <c r="BG27" s="51"/>
      <c r="BH27" s="51"/>
      <c r="BI27" s="51"/>
      <c r="BJ27" s="51"/>
      <c r="BK27" s="51"/>
      <c r="BL27" s="51"/>
    </row>
    <row r="28" spans="1:64" s="181" customFormat="1" ht="109.9" customHeight="1" thickBot="1">
      <c r="A28" s="599">
        <v>17</v>
      </c>
      <c r="B28" s="913" t="str">
        <f>IF(基本情報入力シート!B56="","",基本情報入力シート!B56)</f>
        <v/>
      </c>
      <c r="C28" s="914"/>
      <c r="D28" s="914"/>
      <c r="E28" s="914"/>
      <c r="F28" s="915"/>
      <c r="G28" s="600" t="str">
        <f>IF(基本情報入力シート!L56="", "", 基本情報入力シート!L56)</f>
        <v/>
      </c>
      <c r="H28" s="600" t="str">
        <f>IF(基本情報入力シート!Q56="", "", 基本情報入力シート!Q56)</f>
        <v/>
      </c>
      <c r="I28" s="600" t="str">
        <f>IF(基本情報入力シート!V56="", "", 基本情報入力シート!V56)</f>
        <v/>
      </c>
      <c r="J28" s="600" t="str">
        <f>IF(基本情報入力シート!W56="", "", 基本情報入力シート!W56)</f>
        <v/>
      </c>
      <c r="K28" s="600"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01" t="s">
        <v>170</v>
      </c>
      <c r="Q28" s="225"/>
      <c r="R28" s="602" t="s">
        <v>253</v>
      </c>
      <c r="S28" s="225"/>
      <c r="T28" s="602" t="s">
        <v>254</v>
      </c>
      <c r="U28" s="225"/>
      <c r="V28" s="602" t="s">
        <v>253</v>
      </c>
      <c r="W28" s="225"/>
      <c r="X28" s="602" t="s">
        <v>255</v>
      </c>
      <c r="Y28" s="602" t="s">
        <v>256</v>
      </c>
      <c r="Z28" s="602" t="str">
        <f t="shared" si="16"/>
        <v/>
      </c>
      <c r="AA28" s="603" t="s">
        <v>257</v>
      </c>
      <c r="AB28" s="604" t="str">
        <f t="shared" si="28"/>
        <v/>
      </c>
      <c r="AC28" s="605" t="str">
        <f>IFERROR(ROUNDDOWN(ROUNDDOWN(ROUND(L28*VLOOKUP(K28,【参考】数式用!$A$4:$F$57,MATCH("処遇改善加算Ⅳ",【参考】数式用!$C$3:$F$3,0)+2,0),0)*M28,0)*Z28*0.5,0), "")</f>
        <v/>
      </c>
      <c r="AD28" s="245"/>
      <c r="AE28" s="246"/>
      <c r="AF28" s="246"/>
      <c r="AG28" s="247"/>
      <c r="AH28" s="248"/>
      <c r="AI28" s="249"/>
      <c r="AJ28" s="250"/>
      <c r="AK28" s="606" t="str">
        <f t="shared" si="4"/>
        <v/>
      </c>
      <c r="AL28" s="607" t="str">
        <f t="shared" si="0"/>
        <v/>
      </c>
      <c r="AM28" s="608"/>
      <c r="AN28" s="609" t="str">
        <f>IFERROR(VLOOKUP(K28,【参考】数式用!$A$2:$N$57,14,FALSE),"")</f>
        <v/>
      </c>
      <c r="AO28" s="609" t="str">
        <f t="shared" si="5"/>
        <v/>
      </c>
      <c r="AP28" s="610" t="str">
        <f t="shared" si="6"/>
        <v/>
      </c>
      <c r="AQ28" s="611" t="str">
        <f t="shared" si="7"/>
        <v>入力済</v>
      </c>
      <c r="AR28" s="609" t="str">
        <f t="shared" si="8"/>
        <v/>
      </c>
      <c r="AS28" s="611" t="str">
        <f t="shared" si="9"/>
        <v>入力済</v>
      </c>
      <c r="AT28" s="611" t="str">
        <f t="shared" si="10"/>
        <v/>
      </c>
      <c r="AU28" s="611" t="str">
        <f t="shared" si="29"/>
        <v/>
      </c>
      <c r="AV28" s="609" t="str">
        <f t="shared" si="12"/>
        <v/>
      </c>
      <c r="AW28" s="609" t="str">
        <f t="shared" si="13"/>
        <v>入力済</v>
      </c>
      <c r="AX28" s="611" t="str">
        <f>IFERROR(VLOOKUP(K28,【参考】数式用!$AR$3:$AS$49,2, FALSE), "")</f>
        <v/>
      </c>
      <c r="AY28" s="609" t="str">
        <f t="shared" si="14"/>
        <v/>
      </c>
      <c r="AZ28" s="612" t="str">
        <f t="shared" si="15"/>
        <v>入力済</v>
      </c>
      <c r="BA28" s="611" t="str">
        <f>IFERROR(VLOOKUP(K28,【参考】数式用!$AX$3:$AY$59, 2, FALSE), "")</f>
        <v/>
      </c>
      <c r="BB28" s="609" t="str">
        <f t="shared" si="1"/>
        <v/>
      </c>
      <c r="BC28" s="612" t="str">
        <f t="shared" si="2"/>
        <v>入力済</v>
      </c>
      <c r="BD28" s="613" t="str">
        <f t="shared" si="17"/>
        <v/>
      </c>
      <c r="BE28" s="613" t="str">
        <f t="shared" si="3"/>
        <v/>
      </c>
      <c r="BF28" s="51"/>
      <c r="BG28" s="51"/>
      <c r="BH28" s="51"/>
      <c r="BI28" s="51"/>
      <c r="BJ28" s="51"/>
      <c r="BK28" s="51"/>
      <c r="BL28" s="51"/>
    </row>
    <row r="29" spans="1:64" s="181" customFormat="1" ht="109.9" customHeight="1" thickBot="1">
      <c r="A29" s="599">
        <v>18</v>
      </c>
      <c r="B29" s="913" t="str">
        <f>IF(基本情報入力シート!B57="","",基本情報入力シート!B57)</f>
        <v/>
      </c>
      <c r="C29" s="914"/>
      <c r="D29" s="914"/>
      <c r="E29" s="914"/>
      <c r="F29" s="915"/>
      <c r="G29" s="600" t="str">
        <f>IF(基本情報入力シート!L57="", "", 基本情報入力シート!L57)</f>
        <v/>
      </c>
      <c r="H29" s="600" t="str">
        <f>IF(基本情報入力シート!Q57="", "", 基本情報入力シート!Q57)</f>
        <v/>
      </c>
      <c r="I29" s="600" t="str">
        <f>IF(基本情報入力シート!V57="", "", 基本情報入力シート!V57)</f>
        <v/>
      </c>
      <c r="J29" s="600" t="str">
        <f>IF(基本情報入力シート!W57="", "", 基本情報入力シート!W57)</f>
        <v/>
      </c>
      <c r="K29" s="600"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01" t="s">
        <v>170</v>
      </c>
      <c r="Q29" s="225"/>
      <c r="R29" s="602" t="s">
        <v>253</v>
      </c>
      <c r="S29" s="225"/>
      <c r="T29" s="602" t="s">
        <v>254</v>
      </c>
      <c r="U29" s="225"/>
      <c r="V29" s="602" t="s">
        <v>253</v>
      </c>
      <c r="W29" s="225"/>
      <c r="X29" s="602" t="s">
        <v>255</v>
      </c>
      <c r="Y29" s="602" t="s">
        <v>256</v>
      </c>
      <c r="Z29" s="602" t="str">
        <f t="shared" si="16"/>
        <v/>
      </c>
      <c r="AA29" s="603" t="s">
        <v>257</v>
      </c>
      <c r="AB29" s="604" t="str">
        <f t="shared" si="28"/>
        <v/>
      </c>
      <c r="AC29" s="605" t="str">
        <f>IFERROR(ROUNDDOWN(ROUNDDOWN(ROUND(L29*VLOOKUP(K29,【参考】数式用!$A$4:$F$57,MATCH("処遇改善加算Ⅳ",【参考】数式用!$C$3:$F$3,0)+2,0),0)*M29,0)*Z29*0.5,0), "")</f>
        <v/>
      </c>
      <c r="AD29" s="245"/>
      <c r="AE29" s="246"/>
      <c r="AF29" s="246"/>
      <c r="AG29" s="247"/>
      <c r="AH29" s="248"/>
      <c r="AI29" s="249"/>
      <c r="AJ29" s="250"/>
      <c r="AK29" s="606" t="str">
        <f t="shared" si="4"/>
        <v/>
      </c>
      <c r="AL29" s="607" t="str">
        <f t="shared" si="0"/>
        <v/>
      </c>
      <c r="AM29" s="608"/>
      <c r="AN29" s="609" t="str">
        <f>IFERROR(VLOOKUP(K29,【参考】数式用!$A$2:$N$57,14,FALSE),"")</f>
        <v/>
      </c>
      <c r="AO29" s="609" t="str">
        <f t="shared" si="5"/>
        <v/>
      </c>
      <c r="AP29" s="610" t="str">
        <f t="shared" si="6"/>
        <v/>
      </c>
      <c r="AQ29" s="611" t="str">
        <f t="shared" si="7"/>
        <v>入力済</v>
      </c>
      <c r="AR29" s="609" t="str">
        <f t="shared" si="8"/>
        <v/>
      </c>
      <c r="AS29" s="611" t="str">
        <f t="shared" si="9"/>
        <v>入力済</v>
      </c>
      <c r="AT29" s="611" t="str">
        <f t="shared" si="10"/>
        <v/>
      </c>
      <c r="AU29" s="611" t="str">
        <f t="shared" si="29"/>
        <v/>
      </c>
      <c r="AV29" s="609" t="str">
        <f t="shared" si="12"/>
        <v/>
      </c>
      <c r="AW29" s="609" t="str">
        <f t="shared" si="13"/>
        <v>入力済</v>
      </c>
      <c r="AX29" s="611" t="str">
        <f>IFERROR(VLOOKUP(K29,【参考】数式用!$AR$3:$AS$49,2, FALSE), "")</f>
        <v/>
      </c>
      <c r="AY29" s="609" t="str">
        <f t="shared" si="14"/>
        <v/>
      </c>
      <c r="AZ29" s="612" t="str">
        <f t="shared" si="15"/>
        <v>入力済</v>
      </c>
      <c r="BA29" s="611" t="str">
        <f>IFERROR(VLOOKUP(K29,【参考】数式用!$AX$3:$AY$59, 2, FALSE), "")</f>
        <v/>
      </c>
      <c r="BB29" s="609" t="str">
        <f t="shared" si="1"/>
        <v/>
      </c>
      <c r="BC29" s="612" t="str">
        <f t="shared" si="2"/>
        <v>入力済</v>
      </c>
      <c r="BD29" s="613" t="str">
        <f t="shared" si="17"/>
        <v/>
      </c>
      <c r="BE29" s="613" t="str">
        <f t="shared" si="3"/>
        <v/>
      </c>
      <c r="BF29" s="51"/>
      <c r="BG29" s="51"/>
      <c r="BH29" s="51"/>
      <c r="BI29" s="51"/>
      <c r="BJ29" s="51"/>
      <c r="BK29" s="51"/>
      <c r="BL29" s="51"/>
    </row>
    <row r="30" spans="1:64" s="181" customFormat="1" ht="109.9" customHeight="1" thickBot="1">
      <c r="A30" s="599">
        <v>19</v>
      </c>
      <c r="B30" s="913" t="str">
        <f>IF(基本情報入力シート!B58="","",基本情報入力シート!B58)</f>
        <v/>
      </c>
      <c r="C30" s="914"/>
      <c r="D30" s="914"/>
      <c r="E30" s="914"/>
      <c r="F30" s="915"/>
      <c r="G30" s="600" t="str">
        <f>IF(基本情報入力シート!L58="", "", 基本情報入力シート!L58)</f>
        <v/>
      </c>
      <c r="H30" s="600" t="str">
        <f>IF(基本情報入力シート!Q58="", "", 基本情報入力シート!Q58)</f>
        <v/>
      </c>
      <c r="I30" s="600" t="str">
        <f>IF(基本情報入力シート!V58="", "", 基本情報入力シート!V58)</f>
        <v/>
      </c>
      <c r="J30" s="600" t="str">
        <f>IF(基本情報入力シート!W58="", "", 基本情報入力シート!W58)</f>
        <v/>
      </c>
      <c r="K30" s="600"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01" t="s">
        <v>170</v>
      </c>
      <c r="Q30" s="225"/>
      <c r="R30" s="602" t="s">
        <v>253</v>
      </c>
      <c r="S30" s="225"/>
      <c r="T30" s="602" t="s">
        <v>254</v>
      </c>
      <c r="U30" s="225"/>
      <c r="V30" s="602" t="s">
        <v>253</v>
      </c>
      <c r="W30" s="225"/>
      <c r="X30" s="602" t="s">
        <v>172</v>
      </c>
      <c r="Y30" s="602" t="s">
        <v>256</v>
      </c>
      <c r="Z30" s="602" t="str">
        <f t="shared" si="16"/>
        <v/>
      </c>
      <c r="AA30" s="603" t="s">
        <v>257</v>
      </c>
      <c r="AB30" s="604" t="str">
        <f t="shared" si="28"/>
        <v/>
      </c>
      <c r="AC30" s="605" t="str">
        <f>IFERROR(ROUNDDOWN(ROUNDDOWN(ROUND(L30*VLOOKUP(K30,【参考】数式用!$A$4:$F$57,MATCH("処遇改善加算Ⅳ",【参考】数式用!$C$3:$F$3,0)+2,0),0)*M30,0)*Z30*0.5,0), "")</f>
        <v/>
      </c>
      <c r="AD30" s="245"/>
      <c r="AE30" s="246"/>
      <c r="AF30" s="246"/>
      <c r="AG30" s="247"/>
      <c r="AH30" s="248"/>
      <c r="AI30" s="249"/>
      <c r="AJ30" s="250"/>
      <c r="AK30" s="606" t="str">
        <f t="shared" si="4"/>
        <v/>
      </c>
      <c r="AL30" s="607" t="str">
        <f t="shared" si="0"/>
        <v/>
      </c>
      <c r="AM30" s="608"/>
      <c r="AN30" s="609" t="str">
        <f>IFERROR(VLOOKUP(K30,【参考】数式用!$A$2:$N$57,14,FALSE),"")</f>
        <v/>
      </c>
      <c r="AO30" s="609" t="str">
        <f t="shared" si="5"/>
        <v/>
      </c>
      <c r="AP30" s="610" t="str">
        <f t="shared" si="6"/>
        <v/>
      </c>
      <c r="AQ30" s="611" t="str">
        <f t="shared" si="7"/>
        <v>入力済</v>
      </c>
      <c r="AR30" s="609" t="str">
        <f t="shared" si="8"/>
        <v/>
      </c>
      <c r="AS30" s="611" t="str">
        <f t="shared" si="9"/>
        <v>入力済</v>
      </c>
      <c r="AT30" s="611" t="str">
        <f t="shared" si="10"/>
        <v/>
      </c>
      <c r="AU30" s="611" t="str">
        <f t="shared" si="29"/>
        <v/>
      </c>
      <c r="AV30" s="609" t="str">
        <f t="shared" si="12"/>
        <v/>
      </c>
      <c r="AW30" s="609" t="str">
        <f t="shared" si="13"/>
        <v>入力済</v>
      </c>
      <c r="AX30" s="611" t="str">
        <f>IFERROR(VLOOKUP(K30,【参考】数式用!$AR$3:$AS$49,2, FALSE), "")</f>
        <v/>
      </c>
      <c r="AY30" s="609" t="str">
        <f t="shared" si="14"/>
        <v/>
      </c>
      <c r="AZ30" s="612" t="str">
        <f t="shared" si="15"/>
        <v>入力済</v>
      </c>
      <c r="BA30" s="611" t="str">
        <f>IFERROR(VLOOKUP(K30,【参考】数式用!$AX$3:$AY$59, 2, FALSE), "")</f>
        <v/>
      </c>
      <c r="BB30" s="609" t="str">
        <f t="shared" si="1"/>
        <v/>
      </c>
      <c r="BC30" s="612" t="str">
        <f t="shared" si="2"/>
        <v>入力済</v>
      </c>
      <c r="BD30" s="613" t="str">
        <f t="shared" si="17"/>
        <v/>
      </c>
      <c r="BE30" s="613" t="str">
        <f t="shared" si="3"/>
        <v/>
      </c>
      <c r="BF30" s="51"/>
      <c r="BG30" s="51"/>
      <c r="BH30" s="51"/>
      <c r="BI30" s="51"/>
      <c r="BJ30" s="51"/>
      <c r="BK30" s="51"/>
      <c r="BL30" s="51"/>
    </row>
    <row r="31" spans="1:64" s="181" customFormat="1" ht="109.9" customHeight="1" thickBot="1">
      <c r="A31" s="599">
        <v>20</v>
      </c>
      <c r="B31" s="913" t="str">
        <f>IF(基本情報入力シート!B59="","",基本情報入力シート!B59)</f>
        <v/>
      </c>
      <c r="C31" s="914"/>
      <c r="D31" s="914"/>
      <c r="E31" s="914"/>
      <c r="F31" s="915"/>
      <c r="G31" s="600" t="str">
        <f>IF(基本情報入力シート!L59="", "", 基本情報入力シート!L59)</f>
        <v/>
      </c>
      <c r="H31" s="600" t="str">
        <f>IF(基本情報入力シート!Q59="", "", 基本情報入力シート!Q59)</f>
        <v/>
      </c>
      <c r="I31" s="600" t="str">
        <f>IF(基本情報入力シート!V59="", "", 基本情報入力シート!V59)</f>
        <v/>
      </c>
      <c r="J31" s="600" t="str">
        <f>IF(基本情報入力シート!W59="", "", 基本情報入力シート!W59)</f>
        <v/>
      </c>
      <c r="K31" s="600"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01" t="s">
        <v>170</v>
      </c>
      <c r="Q31" s="225"/>
      <c r="R31" s="602" t="s">
        <v>253</v>
      </c>
      <c r="S31" s="225"/>
      <c r="T31" s="602" t="s">
        <v>254</v>
      </c>
      <c r="U31" s="225"/>
      <c r="V31" s="602" t="s">
        <v>253</v>
      </c>
      <c r="W31" s="225"/>
      <c r="X31" s="602" t="s">
        <v>255</v>
      </c>
      <c r="Y31" s="602" t="s">
        <v>256</v>
      </c>
      <c r="Z31" s="602" t="str">
        <f t="shared" si="16"/>
        <v/>
      </c>
      <c r="AA31" s="603" t="s">
        <v>257</v>
      </c>
      <c r="AB31" s="604" t="str">
        <f t="shared" si="28"/>
        <v/>
      </c>
      <c r="AC31" s="605" t="str">
        <f>IFERROR(ROUNDDOWN(ROUNDDOWN(ROUND(L31*VLOOKUP(K31,【参考】数式用!$A$4:$F$57,MATCH("処遇改善加算Ⅳ",【参考】数式用!$C$3:$F$3,0)+2,0),0)*M31,0)*Z31*0.5,0), "")</f>
        <v/>
      </c>
      <c r="AD31" s="245"/>
      <c r="AE31" s="246"/>
      <c r="AF31" s="246"/>
      <c r="AG31" s="247"/>
      <c r="AH31" s="248"/>
      <c r="AI31" s="249"/>
      <c r="AJ31" s="250"/>
      <c r="AK31" s="606" t="str">
        <f t="shared" si="4"/>
        <v/>
      </c>
      <c r="AL31" s="607" t="str">
        <f t="shared" si="0"/>
        <v/>
      </c>
      <c r="AM31" s="608"/>
      <c r="AN31" s="609" t="str">
        <f>IFERROR(VLOOKUP(K31,【参考】数式用!$A$2:$N$57,14,FALSE),"")</f>
        <v/>
      </c>
      <c r="AO31" s="609" t="str">
        <f t="shared" si="5"/>
        <v/>
      </c>
      <c r="AP31" s="610" t="str">
        <f t="shared" si="6"/>
        <v/>
      </c>
      <c r="AQ31" s="611" t="str">
        <f t="shared" si="7"/>
        <v>入力済</v>
      </c>
      <c r="AR31" s="609" t="str">
        <f t="shared" si="8"/>
        <v/>
      </c>
      <c r="AS31" s="611" t="str">
        <f t="shared" si="9"/>
        <v>入力済</v>
      </c>
      <c r="AT31" s="611" t="str">
        <f t="shared" si="10"/>
        <v/>
      </c>
      <c r="AU31" s="611" t="str">
        <f t="shared" si="29"/>
        <v/>
      </c>
      <c r="AV31" s="609" t="str">
        <f t="shared" si="12"/>
        <v/>
      </c>
      <c r="AW31" s="609" t="str">
        <f t="shared" si="13"/>
        <v>入力済</v>
      </c>
      <c r="AX31" s="611" t="str">
        <f>IFERROR(VLOOKUP(K31,【参考】数式用!$AR$3:$AS$49,2, FALSE), "")</f>
        <v/>
      </c>
      <c r="AY31" s="609" t="str">
        <f t="shared" si="14"/>
        <v/>
      </c>
      <c r="AZ31" s="612" t="str">
        <f t="shared" si="15"/>
        <v>入力済</v>
      </c>
      <c r="BA31" s="611" t="str">
        <f>IFERROR(VLOOKUP(K31,【参考】数式用!$AX$3:$AY$59, 2, FALSE), "")</f>
        <v/>
      </c>
      <c r="BB31" s="609" t="str">
        <f t="shared" si="1"/>
        <v/>
      </c>
      <c r="BC31" s="612" t="str">
        <f t="shared" si="2"/>
        <v>入力済</v>
      </c>
      <c r="BD31" s="613" t="str">
        <f t="shared" si="17"/>
        <v/>
      </c>
      <c r="BE31" s="613" t="str">
        <f t="shared" si="3"/>
        <v/>
      </c>
      <c r="BF31" s="51"/>
      <c r="BG31" s="51"/>
      <c r="BH31" s="51"/>
      <c r="BI31" s="51"/>
      <c r="BJ31" s="51"/>
      <c r="BK31" s="51"/>
      <c r="BL31" s="51"/>
    </row>
    <row r="32" spans="1:64" s="181" customFormat="1" ht="109.9" customHeight="1" thickBot="1">
      <c r="A32" s="599">
        <v>21</v>
      </c>
      <c r="B32" s="913" t="str">
        <f>IF(基本情報入力シート!B60="","",基本情報入力シート!B60)</f>
        <v/>
      </c>
      <c r="C32" s="914"/>
      <c r="D32" s="914"/>
      <c r="E32" s="914"/>
      <c r="F32" s="915"/>
      <c r="G32" s="600" t="str">
        <f>IF(基本情報入力シート!L60="", "", 基本情報入力シート!L60)</f>
        <v/>
      </c>
      <c r="H32" s="600" t="str">
        <f>IF(基本情報入力シート!Q60="", "", 基本情報入力シート!Q60)</f>
        <v/>
      </c>
      <c r="I32" s="600" t="str">
        <f>IF(基本情報入力シート!V60="", "", 基本情報入力シート!V60)</f>
        <v/>
      </c>
      <c r="J32" s="600" t="str">
        <f>IF(基本情報入力シート!W60="", "", 基本情報入力シート!W60)</f>
        <v/>
      </c>
      <c r="K32" s="600"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01" t="s">
        <v>170</v>
      </c>
      <c r="Q32" s="225"/>
      <c r="R32" s="602" t="s">
        <v>253</v>
      </c>
      <c r="S32" s="225"/>
      <c r="T32" s="602" t="s">
        <v>254</v>
      </c>
      <c r="U32" s="225"/>
      <c r="V32" s="602" t="s">
        <v>253</v>
      </c>
      <c r="W32" s="225"/>
      <c r="X32" s="602" t="s">
        <v>255</v>
      </c>
      <c r="Y32" s="602" t="s">
        <v>256</v>
      </c>
      <c r="Z32" s="602" t="str">
        <f t="shared" si="16"/>
        <v/>
      </c>
      <c r="AA32" s="603" t="s">
        <v>257</v>
      </c>
      <c r="AB32" s="604" t="str">
        <f t="shared" si="28"/>
        <v/>
      </c>
      <c r="AC32" s="605" t="str">
        <f>IFERROR(ROUNDDOWN(ROUNDDOWN(ROUND(L32*VLOOKUP(K32,【参考】数式用!$A$4:$F$57,MATCH("処遇改善加算Ⅳ",【参考】数式用!$C$3:$F$3,0)+2,0),0)*M32,0)*Z32*0.5,0), "")</f>
        <v/>
      </c>
      <c r="AD32" s="245"/>
      <c r="AE32" s="246"/>
      <c r="AF32" s="246"/>
      <c r="AG32" s="247"/>
      <c r="AH32" s="248"/>
      <c r="AI32" s="249"/>
      <c r="AJ32" s="250"/>
      <c r="AK32" s="606" t="str">
        <f t="shared" si="4"/>
        <v/>
      </c>
      <c r="AL32" s="607" t="str">
        <f t="shared" si="0"/>
        <v/>
      </c>
      <c r="AM32" s="608"/>
      <c r="AN32" s="609" t="str">
        <f>IFERROR(VLOOKUP(K32,【参考】数式用!$A$2:$N$57,14,FALSE),"")</f>
        <v/>
      </c>
      <c r="AO32" s="609" t="str">
        <f t="shared" si="5"/>
        <v/>
      </c>
      <c r="AP32" s="610" t="str">
        <f t="shared" si="6"/>
        <v/>
      </c>
      <c r="AQ32" s="611" t="str">
        <f t="shared" si="7"/>
        <v>入力済</v>
      </c>
      <c r="AR32" s="609" t="str">
        <f t="shared" si="8"/>
        <v/>
      </c>
      <c r="AS32" s="611" t="str">
        <f t="shared" si="9"/>
        <v>入力済</v>
      </c>
      <c r="AT32" s="611" t="str">
        <f t="shared" si="10"/>
        <v/>
      </c>
      <c r="AU32" s="611" t="str">
        <f t="shared" si="29"/>
        <v/>
      </c>
      <c r="AV32" s="609" t="str">
        <f t="shared" si="12"/>
        <v/>
      </c>
      <c r="AW32" s="609" t="str">
        <f t="shared" si="13"/>
        <v>入力済</v>
      </c>
      <c r="AX32" s="611" t="str">
        <f>IFERROR(VLOOKUP(K32,【参考】数式用!$AR$3:$AS$49,2, FALSE), "")</f>
        <v/>
      </c>
      <c r="AY32" s="609" t="str">
        <f t="shared" si="14"/>
        <v/>
      </c>
      <c r="AZ32" s="612" t="str">
        <f t="shared" si="15"/>
        <v>入力済</v>
      </c>
      <c r="BA32" s="611" t="str">
        <f>IFERROR(VLOOKUP(K32,【参考】数式用!$AX$3:$AY$59, 2, FALSE), "")</f>
        <v/>
      </c>
      <c r="BB32" s="609" t="str">
        <f t="shared" si="1"/>
        <v/>
      </c>
      <c r="BC32" s="612" t="str">
        <f t="shared" si="2"/>
        <v>入力済</v>
      </c>
      <c r="BD32" s="613" t="str">
        <f t="shared" si="17"/>
        <v/>
      </c>
      <c r="BE32" s="613" t="str">
        <f t="shared" si="3"/>
        <v/>
      </c>
      <c r="BF32" s="51"/>
      <c r="BG32" s="51"/>
      <c r="BH32" s="51"/>
      <c r="BI32" s="51"/>
      <c r="BJ32" s="51"/>
      <c r="BK32" s="51"/>
      <c r="BL32" s="51"/>
    </row>
    <row r="33" spans="1:64" s="181" customFormat="1" ht="109.9" customHeight="1" thickBot="1">
      <c r="A33" s="599">
        <v>22</v>
      </c>
      <c r="B33" s="913" t="str">
        <f>IF(基本情報入力シート!B61="","",基本情報入力シート!B61)</f>
        <v/>
      </c>
      <c r="C33" s="914"/>
      <c r="D33" s="914"/>
      <c r="E33" s="914"/>
      <c r="F33" s="915"/>
      <c r="G33" s="600" t="str">
        <f>IF(基本情報入力シート!L61="", "", 基本情報入力シート!L61)</f>
        <v/>
      </c>
      <c r="H33" s="600" t="str">
        <f>IF(基本情報入力シート!Q61="", "", 基本情報入力シート!Q61)</f>
        <v/>
      </c>
      <c r="I33" s="600" t="str">
        <f>IF(基本情報入力シート!V61="", "", 基本情報入力シート!V61)</f>
        <v/>
      </c>
      <c r="J33" s="600" t="str">
        <f>IF(基本情報入力シート!W61="", "", 基本情報入力シート!W61)</f>
        <v/>
      </c>
      <c r="K33" s="600"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01" t="s">
        <v>170</v>
      </c>
      <c r="Q33" s="225"/>
      <c r="R33" s="602" t="s">
        <v>253</v>
      </c>
      <c r="S33" s="225"/>
      <c r="T33" s="602" t="s">
        <v>254</v>
      </c>
      <c r="U33" s="225"/>
      <c r="V33" s="602" t="s">
        <v>253</v>
      </c>
      <c r="W33" s="225"/>
      <c r="X33" s="602" t="s">
        <v>255</v>
      </c>
      <c r="Y33" s="602" t="s">
        <v>256</v>
      </c>
      <c r="Z33" s="602" t="str">
        <f t="shared" si="16"/>
        <v/>
      </c>
      <c r="AA33" s="603" t="s">
        <v>257</v>
      </c>
      <c r="AB33" s="604" t="str">
        <f t="shared" si="28"/>
        <v/>
      </c>
      <c r="AC33" s="605" t="str">
        <f>IFERROR(ROUNDDOWN(ROUNDDOWN(ROUND(L33*VLOOKUP(K33,【参考】数式用!$A$4:$F$57,MATCH("処遇改善加算Ⅳ",【参考】数式用!$C$3:$F$3,0)+2,0),0)*M33,0)*Z33*0.5,0), "")</f>
        <v/>
      </c>
      <c r="AD33" s="245"/>
      <c r="AE33" s="246"/>
      <c r="AF33" s="246"/>
      <c r="AG33" s="247"/>
      <c r="AH33" s="248"/>
      <c r="AI33" s="249"/>
      <c r="AJ33" s="250"/>
      <c r="AK33" s="606" t="str">
        <f t="shared" si="4"/>
        <v/>
      </c>
      <c r="AL33" s="607" t="str">
        <f t="shared" si="0"/>
        <v/>
      </c>
      <c r="AM33" s="608"/>
      <c r="AN33" s="609" t="str">
        <f>IFERROR(VLOOKUP(K33,【参考】数式用!$A$2:$N$57,14,FALSE),"")</f>
        <v/>
      </c>
      <c r="AO33" s="609" t="str">
        <f t="shared" si="5"/>
        <v/>
      </c>
      <c r="AP33" s="610" t="str">
        <f t="shared" si="6"/>
        <v/>
      </c>
      <c r="AQ33" s="611" t="str">
        <f t="shared" si="7"/>
        <v>入力済</v>
      </c>
      <c r="AR33" s="609" t="str">
        <f t="shared" si="8"/>
        <v/>
      </c>
      <c r="AS33" s="611" t="str">
        <f t="shared" si="9"/>
        <v>入力済</v>
      </c>
      <c r="AT33" s="611" t="str">
        <f t="shared" si="10"/>
        <v/>
      </c>
      <c r="AU33" s="611" t="str">
        <f t="shared" si="29"/>
        <v/>
      </c>
      <c r="AV33" s="609" t="str">
        <f t="shared" si="12"/>
        <v/>
      </c>
      <c r="AW33" s="609" t="str">
        <f t="shared" si="13"/>
        <v>入力済</v>
      </c>
      <c r="AX33" s="611" t="str">
        <f>IFERROR(VLOOKUP(K33,【参考】数式用!$AR$3:$AS$49,2, FALSE), "")</f>
        <v/>
      </c>
      <c r="AY33" s="609" t="str">
        <f t="shared" si="14"/>
        <v/>
      </c>
      <c r="AZ33" s="612" t="str">
        <f t="shared" si="15"/>
        <v>入力済</v>
      </c>
      <c r="BA33" s="611" t="str">
        <f>IFERROR(VLOOKUP(K33,【参考】数式用!$AX$3:$AY$59, 2, FALSE), "")</f>
        <v/>
      </c>
      <c r="BB33" s="609" t="str">
        <f t="shared" si="1"/>
        <v/>
      </c>
      <c r="BC33" s="612" t="str">
        <f t="shared" si="2"/>
        <v>入力済</v>
      </c>
      <c r="BD33" s="613" t="str">
        <f t="shared" si="17"/>
        <v/>
      </c>
      <c r="BE33" s="613" t="str">
        <f t="shared" si="3"/>
        <v/>
      </c>
      <c r="BF33" s="51"/>
      <c r="BG33" s="51"/>
      <c r="BH33" s="51"/>
      <c r="BI33" s="51"/>
      <c r="BJ33" s="51"/>
      <c r="BK33" s="51"/>
      <c r="BL33" s="51"/>
    </row>
    <row r="34" spans="1:64" s="181" customFormat="1" ht="109.9" customHeight="1" thickBot="1">
      <c r="A34" s="599">
        <v>23</v>
      </c>
      <c r="B34" s="913" t="str">
        <f>IF(基本情報入力シート!B62="","",基本情報入力シート!B62)</f>
        <v/>
      </c>
      <c r="C34" s="914"/>
      <c r="D34" s="914"/>
      <c r="E34" s="914"/>
      <c r="F34" s="915"/>
      <c r="G34" s="600" t="str">
        <f>IF(基本情報入力シート!L62="", "", 基本情報入力シート!L62)</f>
        <v/>
      </c>
      <c r="H34" s="600" t="str">
        <f>IF(基本情報入力シート!Q62="", "", 基本情報入力シート!Q62)</f>
        <v/>
      </c>
      <c r="I34" s="600" t="str">
        <f>IF(基本情報入力シート!V62="", "", 基本情報入力シート!V62)</f>
        <v/>
      </c>
      <c r="J34" s="600" t="str">
        <f>IF(基本情報入力シート!W62="", "", 基本情報入力シート!W62)</f>
        <v/>
      </c>
      <c r="K34" s="600"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01" t="s">
        <v>170</v>
      </c>
      <c r="Q34" s="225"/>
      <c r="R34" s="602" t="s">
        <v>253</v>
      </c>
      <c r="S34" s="225"/>
      <c r="T34" s="602" t="s">
        <v>254</v>
      </c>
      <c r="U34" s="225"/>
      <c r="V34" s="602" t="s">
        <v>253</v>
      </c>
      <c r="W34" s="225"/>
      <c r="X34" s="602" t="s">
        <v>172</v>
      </c>
      <c r="Y34" s="602" t="s">
        <v>256</v>
      </c>
      <c r="Z34" s="602" t="str">
        <f t="shared" si="16"/>
        <v/>
      </c>
      <c r="AA34" s="603" t="s">
        <v>257</v>
      </c>
      <c r="AB34" s="604" t="str">
        <f t="shared" si="28"/>
        <v/>
      </c>
      <c r="AC34" s="605" t="str">
        <f>IFERROR(ROUNDDOWN(ROUNDDOWN(ROUND(L34*VLOOKUP(K34,【参考】数式用!$A$4:$F$57,MATCH("処遇改善加算Ⅳ",【参考】数式用!$C$3:$F$3,0)+2,0),0)*M34,0)*Z34*0.5,0), "")</f>
        <v/>
      </c>
      <c r="AD34" s="245"/>
      <c r="AE34" s="246"/>
      <c r="AF34" s="246"/>
      <c r="AG34" s="247"/>
      <c r="AH34" s="248"/>
      <c r="AI34" s="249"/>
      <c r="AJ34" s="250"/>
      <c r="AK34" s="606" t="str">
        <f t="shared" si="4"/>
        <v/>
      </c>
      <c r="AL34" s="607" t="str">
        <f t="shared" si="0"/>
        <v/>
      </c>
      <c r="AM34" s="608"/>
      <c r="AN34" s="609" t="str">
        <f>IFERROR(VLOOKUP(K34,【参考】数式用!$A$2:$N$57,14,FALSE),"")</f>
        <v/>
      </c>
      <c r="AO34" s="609" t="str">
        <f t="shared" si="5"/>
        <v/>
      </c>
      <c r="AP34" s="610" t="str">
        <f t="shared" si="6"/>
        <v/>
      </c>
      <c r="AQ34" s="611" t="str">
        <f t="shared" si="7"/>
        <v>入力済</v>
      </c>
      <c r="AR34" s="609" t="str">
        <f t="shared" si="8"/>
        <v/>
      </c>
      <c r="AS34" s="611" t="str">
        <f t="shared" si="9"/>
        <v>入力済</v>
      </c>
      <c r="AT34" s="611" t="str">
        <f t="shared" si="10"/>
        <v/>
      </c>
      <c r="AU34" s="611" t="str">
        <f t="shared" si="29"/>
        <v/>
      </c>
      <c r="AV34" s="609" t="str">
        <f t="shared" si="12"/>
        <v/>
      </c>
      <c r="AW34" s="609" t="str">
        <f t="shared" si="13"/>
        <v>入力済</v>
      </c>
      <c r="AX34" s="611" t="str">
        <f>IFERROR(VLOOKUP(K34,【参考】数式用!$AR$3:$AS$49,2, FALSE), "")</f>
        <v/>
      </c>
      <c r="AY34" s="609" t="str">
        <f t="shared" si="14"/>
        <v/>
      </c>
      <c r="AZ34" s="612" t="str">
        <f t="shared" si="15"/>
        <v>入力済</v>
      </c>
      <c r="BA34" s="611" t="str">
        <f>IFERROR(VLOOKUP(K34,【参考】数式用!$AX$3:$AY$59, 2, FALSE), "")</f>
        <v/>
      </c>
      <c r="BB34" s="609" t="str">
        <f t="shared" si="1"/>
        <v/>
      </c>
      <c r="BC34" s="612" t="str">
        <f t="shared" si="2"/>
        <v>入力済</v>
      </c>
      <c r="BD34" s="613" t="str">
        <f t="shared" si="17"/>
        <v/>
      </c>
      <c r="BE34" s="613" t="str">
        <f t="shared" si="3"/>
        <v/>
      </c>
      <c r="BF34" s="51"/>
      <c r="BG34" s="51"/>
      <c r="BH34" s="51"/>
      <c r="BI34" s="51"/>
      <c r="BJ34" s="51"/>
      <c r="BK34" s="51"/>
      <c r="BL34" s="51"/>
    </row>
    <row r="35" spans="1:64" s="181" customFormat="1" ht="109.9" customHeight="1" thickBot="1">
      <c r="A35" s="599">
        <v>24</v>
      </c>
      <c r="B35" s="913" t="str">
        <f>IF(基本情報入力シート!B63="","",基本情報入力シート!B63)</f>
        <v/>
      </c>
      <c r="C35" s="914"/>
      <c r="D35" s="914"/>
      <c r="E35" s="914"/>
      <c r="F35" s="915"/>
      <c r="G35" s="600" t="str">
        <f>IF(基本情報入力シート!L63="", "", 基本情報入力シート!L63)</f>
        <v/>
      </c>
      <c r="H35" s="600" t="str">
        <f>IF(基本情報入力シート!Q63="", "", 基本情報入力シート!Q63)</f>
        <v/>
      </c>
      <c r="I35" s="600" t="str">
        <f>IF(基本情報入力シート!V63="", "", 基本情報入力シート!V63)</f>
        <v/>
      </c>
      <c r="J35" s="600" t="str">
        <f>IF(基本情報入力シート!W63="", "", 基本情報入力シート!W63)</f>
        <v/>
      </c>
      <c r="K35" s="600"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01" t="s">
        <v>170</v>
      </c>
      <c r="Q35" s="225"/>
      <c r="R35" s="602" t="s">
        <v>253</v>
      </c>
      <c r="S35" s="225"/>
      <c r="T35" s="602" t="s">
        <v>254</v>
      </c>
      <c r="U35" s="225"/>
      <c r="V35" s="602" t="s">
        <v>253</v>
      </c>
      <c r="W35" s="225"/>
      <c r="X35" s="602" t="s">
        <v>172</v>
      </c>
      <c r="Y35" s="602" t="s">
        <v>256</v>
      </c>
      <c r="Z35" s="602" t="str">
        <f t="shared" si="16"/>
        <v/>
      </c>
      <c r="AA35" s="603" t="s">
        <v>257</v>
      </c>
      <c r="AB35" s="604" t="str">
        <f t="shared" si="28"/>
        <v/>
      </c>
      <c r="AC35" s="605" t="str">
        <f>IFERROR(ROUNDDOWN(ROUNDDOWN(ROUND(L35*VLOOKUP(K35,【参考】数式用!$A$4:$F$57,MATCH("処遇改善加算Ⅳ",【参考】数式用!$C$3:$F$3,0)+2,0),0)*M35,0)*Z35*0.5,0), "")</f>
        <v/>
      </c>
      <c r="AD35" s="245"/>
      <c r="AE35" s="246"/>
      <c r="AF35" s="246"/>
      <c r="AG35" s="247"/>
      <c r="AH35" s="248"/>
      <c r="AI35" s="249"/>
      <c r="AJ35" s="250"/>
      <c r="AK35" s="606" t="str">
        <f t="shared" si="4"/>
        <v/>
      </c>
      <c r="AL35" s="607" t="str">
        <f t="shared" si="0"/>
        <v/>
      </c>
      <c r="AM35" s="608"/>
      <c r="AN35" s="609" t="str">
        <f>IFERROR(VLOOKUP(K35,【参考】数式用!$A$2:$N$57,14,FALSE),"")</f>
        <v/>
      </c>
      <c r="AO35" s="609" t="str">
        <f t="shared" si="5"/>
        <v/>
      </c>
      <c r="AP35" s="610" t="str">
        <f t="shared" si="6"/>
        <v/>
      </c>
      <c r="AQ35" s="611" t="str">
        <f t="shared" si="7"/>
        <v>入力済</v>
      </c>
      <c r="AR35" s="609" t="str">
        <f t="shared" si="8"/>
        <v/>
      </c>
      <c r="AS35" s="611" t="str">
        <f t="shared" si="9"/>
        <v>入力済</v>
      </c>
      <c r="AT35" s="611" t="str">
        <f t="shared" si="10"/>
        <v/>
      </c>
      <c r="AU35" s="611" t="str">
        <f t="shared" si="29"/>
        <v/>
      </c>
      <c r="AV35" s="609" t="str">
        <f t="shared" si="12"/>
        <v/>
      </c>
      <c r="AW35" s="609" t="str">
        <f t="shared" si="13"/>
        <v>入力済</v>
      </c>
      <c r="AX35" s="611" t="str">
        <f>IFERROR(VLOOKUP(K35,【参考】数式用!$AR$3:$AS$49,2, FALSE), "")</f>
        <v/>
      </c>
      <c r="AY35" s="609" t="str">
        <f t="shared" si="14"/>
        <v/>
      </c>
      <c r="AZ35" s="612" t="str">
        <f t="shared" si="15"/>
        <v>入力済</v>
      </c>
      <c r="BA35" s="611" t="str">
        <f>IFERROR(VLOOKUP(K35,【参考】数式用!$AX$3:$AY$59, 2, FALSE), "")</f>
        <v/>
      </c>
      <c r="BB35" s="609" t="str">
        <f t="shared" si="1"/>
        <v/>
      </c>
      <c r="BC35" s="612" t="str">
        <f t="shared" si="2"/>
        <v>入力済</v>
      </c>
      <c r="BD35" s="613" t="str">
        <f t="shared" si="17"/>
        <v/>
      </c>
      <c r="BE35" s="613" t="str">
        <f t="shared" si="3"/>
        <v/>
      </c>
      <c r="BF35" s="51"/>
      <c r="BG35" s="51"/>
      <c r="BH35" s="51"/>
      <c r="BI35" s="51"/>
      <c r="BJ35" s="51"/>
      <c r="BK35" s="51"/>
      <c r="BL35" s="51"/>
    </row>
    <row r="36" spans="1:64" s="181" customFormat="1" ht="109.9" customHeight="1" thickBot="1">
      <c r="A36" s="599">
        <v>25</v>
      </c>
      <c r="B36" s="913" t="str">
        <f>IF(基本情報入力シート!B64="","",基本情報入力シート!B64)</f>
        <v/>
      </c>
      <c r="C36" s="914"/>
      <c r="D36" s="914"/>
      <c r="E36" s="914"/>
      <c r="F36" s="915"/>
      <c r="G36" s="600" t="str">
        <f>IF(基本情報入力シート!L64="", "", 基本情報入力シート!L64)</f>
        <v/>
      </c>
      <c r="H36" s="600" t="str">
        <f>IF(基本情報入力シート!Q64="", "", 基本情報入力シート!Q64)</f>
        <v/>
      </c>
      <c r="I36" s="600" t="str">
        <f>IF(基本情報入力シート!V64="", "", 基本情報入力シート!V64)</f>
        <v/>
      </c>
      <c r="J36" s="600" t="str">
        <f>IF(基本情報入力シート!W64="", "", 基本情報入力シート!W64)</f>
        <v/>
      </c>
      <c r="K36" s="600"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01" t="s">
        <v>170</v>
      </c>
      <c r="Q36" s="225"/>
      <c r="R36" s="602" t="s">
        <v>253</v>
      </c>
      <c r="S36" s="225"/>
      <c r="T36" s="602" t="s">
        <v>254</v>
      </c>
      <c r="U36" s="225"/>
      <c r="V36" s="602" t="s">
        <v>253</v>
      </c>
      <c r="W36" s="225"/>
      <c r="X36" s="602" t="s">
        <v>255</v>
      </c>
      <c r="Y36" s="602" t="s">
        <v>256</v>
      </c>
      <c r="Z36" s="602" t="str">
        <f t="shared" si="16"/>
        <v/>
      </c>
      <c r="AA36" s="603" t="s">
        <v>257</v>
      </c>
      <c r="AB36" s="604" t="str">
        <f t="shared" si="28"/>
        <v/>
      </c>
      <c r="AC36" s="605" t="str">
        <f>IFERROR(ROUNDDOWN(ROUNDDOWN(ROUND(L36*VLOOKUP(K36,【参考】数式用!$A$4:$F$57,MATCH("処遇改善加算Ⅳ",【参考】数式用!$C$3:$F$3,0)+2,0),0)*M36,0)*Z36*0.5,0), "")</f>
        <v/>
      </c>
      <c r="AD36" s="245"/>
      <c r="AE36" s="246"/>
      <c r="AF36" s="246"/>
      <c r="AG36" s="247"/>
      <c r="AH36" s="248"/>
      <c r="AI36" s="249"/>
      <c r="AJ36" s="250"/>
      <c r="AK36" s="606" t="str">
        <f t="shared" si="4"/>
        <v/>
      </c>
      <c r="AL36" s="607" t="str">
        <f t="shared" si="0"/>
        <v/>
      </c>
      <c r="AM36" s="608"/>
      <c r="AN36" s="609" t="str">
        <f>IFERROR(VLOOKUP(K36,【参考】数式用!$A$2:$N$57,14,FALSE),"")</f>
        <v/>
      </c>
      <c r="AO36" s="609" t="str">
        <f t="shared" si="5"/>
        <v/>
      </c>
      <c r="AP36" s="610" t="str">
        <f t="shared" si="6"/>
        <v/>
      </c>
      <c r="AQ36" s="611" t="str">
        <f t="shared" si="7"/>
        <v>入力済</v>
      </c>
      <c r="AR36" s="609" t="str">
        <f t="shared" si="8"/>
        <v/>
      </c>
      <c r="AS36" s="611" t="str">
        <f t="shared" si="9"/>
        <v>入力済</v>
      </c>
      <c r="AT36" s="611" t="str">
        <f t="shared" si="10"/>
        <v/>
      </c>
      <c r="AU36" s="611" t="str">
        <f t="shared" si="29"/>
        <v/>
      </c>
      <c r="AV36" s="609" t="str">
        <f t="shared" si="12"/>
        <v/>
      </c>
      <c r="AW36" s="609" t="str">
        <f t="shared" si="13"/>
        <v>入力済</v>
      </c>
      <c r="AX36" s="611" t="str">
        <f>IFERROR(VLOOKUP(K36,【参考】数式用!$AR$3:$AS$49,2, FALSE), "")</f>
        <v/>
      </c>
      <c r="AY36" s="609" t="str">
        <f t="shared" si="14"/>
        <v/>
      </c>
      <c r="AZ36" s="612" t="str">
        <f t="shared" si="15"/>
        <v>入力済</v>
      </c>
      <c r="BA36" s="611" t="str">
        <f>IFERROR(VLOOKUP(K36,【参考】数式用!$AX$3:$AY$59, 2, FALSE), "")</f>
        <v/>
      </c>
      <c r="BB36" s="609" t="str">
        <f t="shared" si="1"/>
        <v/>
      </c>
      <c r="BC36" s="612" t="str">
        <f t="shared" si="2"/>
        <v>入力済</v>
      </c>
      <c r="BD36" s="613" t="str">
        <f t="shared" si="17"/>
        <v/>
      </c>
      <c r="BE36" s="613" t="str">
        <f t="shared" si="3"/>
        <v/>
      </c>
      <c r="BF36" s="51"/>
      <c r="BG36" s="51"/>
      <c r="BH36" s="51"/>
      <c r="BI36" s="51"/>
      <c r="BJ36" s="51"/>
      <c r="BK36" s="51"/>
      <c r="BL36" s="51"/>
    </row>
    <row r="37" spans="1:64" s="181" customFormat="1" ht="109.9" customHeight="1" thickBot="1">
      <c r="A37" s="599">
        <v>26</v>
      </c>
      <c r="B37" s="913" t="str">
        <f>IF(基本情報入力シート!B65="","",基本情報入力シート!B65)</f>
        <v/>
      </c>
      <c r="C37" s="914"/>
      <c r="D37" s="914"/>
      <c r="E37" s="914"/>
      <c r="F37" s="915"/>
      <c r="G37" s="600" t="str">
        <f>IF(基本情報入力シート!L65="", "", 基本情報入力シート!L65)</f>
        <v/>
      </c>
      <c r="H37" s="600" t="str">
        <f>IF(基本情報入力シート!Q65="", "", 基本情報入力シート!Q65)</f>
        <v/>
      </c>
      <c r="I37" s="600" t="str">
        <f>IF(基本情報入力シート!V65="", "", 基本情報入力シート!V65)</f>
        <v/>
      </c>
      <c r="J37" s="600" t="str">
        <f>IF(基本情報入力シート!W65="", "", 基本情報入力シート!W65)</f>
        <v/>
      </c>
      <c r="K37" s="600"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01" t="s">
        <v>170</v>
      </c>
      <c r="Q37" s="225"/>
      <c r="R37" s="602" t="s">
        <v>253</v>
      </c>
      <c r="S37" s="225"/>
      <c r="T37" s="602" t="s">
        <v>254</v>
      </c>
      <c r="U37" s="225"/>
      <c r="V37" s="602" t="s">
        <v>253</v>
      </c>
      <c r="W37" s="225"/>
      <c r="X37" s="602" t="s">
        <v>255</v>
      </c>
      <c r="Y37" s="602" t="s">
        <v>256</v>
      </c>
      <c r="Z37" s="602" t="str">
        <f t="shared" si="16"/>
        <v/>
      </c>
      <c r="AA37" s="603" t="s">
        <v>257</v>
      </c>
      <c r="AB37" s="604" t="str">
        <f t="shared" si="28"/>
        <v/>
      </c>
      <c r="AC37" s="605" t="str">
        <f>IFERROR(ROUNDDOWN(ROUNDDOWN(ROUND(L37*VLOOKUP(K37,【参考】数式用!$A$4:$F$57,MATCH("処遇改善加算Ⅳ",【参考】数式用!$C$3:$F$3,0)+2,0),0)*M37,0)*Z37*0.5,0), "")</f>
        <v/>
      </c>
      <c r="AD37" s="245"/>
      <c r="AE37" s="246"/>
      <c r="AF37" s="246"/>
      <c r="AG37" s="247"/>
      <c r="AH37" s="248"/>
      <c r="AI37" s="249"/>
      <c r="AJ37" s="250"/>
      <c r="AK37" s="606" t="str">
        <f t="shared" si="4"/>
        <v/>
      </c>
      <c r="AL37" s="607" t="str">
        <f t="shared" si="0"/>
        <v/>
      </c>
      <c r="AM37" s="608"/>
      <c r="AN37" s="609" t="str">
        <f>IFERROR(VLOOKUP(K37,【参考】数式用!$A$2:$N$57,14,FALSE),"")</f>
        <v/>
      </c>
      <c r="AO37" s="609" t="str">
        <f t="shared" si="5"/>
        <v/>
      </c>
      <c r="AP37" s="610" t="str">
        <f t="shared" si="6"/>
        <v/>
      </c>
      <c r="AQ37" s="611" t="str">
        <f t="shared" si="7"/>
        <v>入力済</v>
      </c>
      <c r="AR37" s="609" t="str">
        <f t="shared" si="8"/>
        <v/>
      </c>
      <c r="AS37" s="611" t="str">
        <f t="shared" si="9"/>
        <v>入力済</v>
      </c>
      <c r="AT37" s="611" t="str">
        <f t="shared" si="10"/>
        <v/>
      </c>
      <c r="AU37" s="611" t="str">
        <f t="shared" si="29"/>
        <v/>
      </c>
      <c r="AV37" s="609" t="str">
        <f t="shared" si="12"/>
        <v/>
      </c>
      <c r="AW37" s="609" t="str">
        <f t="shared" si="13"/>
        <v>入力済</v>
      </c>
      <c r="AX37" s="611" t="str">
        <f>IFERROR(VLOOKUP(K37,【参考】数式用!$AR$3:$AS$49,2, FALSE), "")</f>
        <v/>
      </c>
      <c r="AY37" s="609" t="str">
        <f t="shared" si="14"/>
        <v/>
      </c>
      <c r="AZ37" s="612" t="str">
        <f t="shared" si="15"/>
        <v>入力済</v>
      </c>
      <c r="BA37" s="611" t="str">
        <f>IFERROR(VLOOKUP(K37,【参考】数式用!$AX$3:$AY$59, 2, FALSE), "")</f>
        <v/>
      </c>
      <c r="BB37" s="609" t="str">
        <f t="shared" si="1"/>
        <v/>
      </c>
      <c r="BC37" s="612" t="str">
        <f t="shared" si="2"/>
        <v>入力済</v>
      </c>
      <c r="BD37" s="613" t="str">
        <f t="shared" si="17"/>
        <v/>
      </c>
      <c r="BE37" s="613" t="str">
        <f t="shared" si="3"/>
        <v/>
      </c>
      <c r="BF37" s="51"/>
      <c r="BG37" s="51"/>
      <c r="BH37" s="51"/>
      <c r="BI37" s="51"/>
      <c r="BJ37" s="51"/>
      <c r="BK37" s="51"/>
      <c r="BL37" s="51"/>
    </row>
    <row r="38" spans="1:64" s="181" customFormat="1" ht="109.9" customHeight="1" thickBot="1">
      <c r="A38" s="599">
        <v>27</v>
      </c>
      <c r="B38" s="913" t="str">
        <f>IF(基本情報入力シート!B66="","",基本情報入力シート!B66)</f>
        <v/>
      </c>
      <c r="C38" s="914"/>
      <c r="D38" s="914"/>
      <c r="E38" s="914"/>
      <c r="F38" s="915"/>
      <c r="G38" s="600" t="str">
        <f>IF(基本情報入力シート!L66="", "", 基本情報入力シート!L66)</f>
        <v/>
      </c>
      <c r="H38" s="600" t="str">
        <f>IF(基本情報入力シート!Q66="", "", 基本情報入力シート!Q66)</f>
        <v/>
      </c>
      <c r="I38" s="600" t="str">
        <f>IF(基本情報入力シート!V66="", "", 基本情報入力シート!V66)</f>
        <v/>
      </c>
      <c r="J38" s="600" t="str">
        <f>IF(基本情報入力シート!W66="", "", 基本情報入力シート!W66)</f>
        <v/>
      </c>
      <c r="K38" s="600"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01" t="s">
        <v>170</v>
      </c>
      <c r="Q38" s="225"/>
      <c r="R38" s="602" t="s">
        <v>253</v>
      </c>
      <c r="S38" s="225"/>
      <c r="T38" s="602" t="s">
        <v>254</v>
      </c>
      <c r="U38" s="225"/>
      <c r="V38" s="602" t="s">
        <v>253</v>
      </c>
      <c r="W38" s="225"/>
      <c r="X38" s="602" t="s">
        <v>255</v>
      </c>
      <c r="Y38" s="602" t="s">
        <v>256</v>
      </c>
      <c r="Z38" s="602" t="str">
        <f t="shared" si="16"/>
        <v/>
      </c>
      <c r="AA38" s="603" t="s">
        <v>257</v>
      </c>
      <c r="AB38" s="604" t="str">
        <f t="shared" si="28"/>
        <v/>
      </c>
      <c r="AC38" s="605" t="str">
        <f>IFERROR(ROUNDDOWN(ROUNDDOWN(ROUND(L38*VLOOKUP(K38,【参考】数式用!$A$4:$F$57,MATCH("処遇改善加算Ⅳ",【参考】数式用!$C$3:$F$3,0)+2,0),0)*M38,0)*Z38*0.5,0), "")</f>
        <v/>
      </c>
      <c r="AD38" s="245"/>
      <c r="AE38" s="246"/>
      <c r="AF38" s="246"/>
      <c r="AG38" s="247"/>
      <c r="AH38" s="248"/>
      <c r="AI38" s="249"/>
      <c r="AJ38" s="250"/>
      <c r="AK38" s="606" t="str">
        <f t="shared" si="4"/>
        <v/>
      </c>
      <c r="AL38" s="607" t="str">
        <f t="shared" si="0"/>
        <v/>
      </c>
      <c r="AM38" s="608"/>
      <c r="AN38" s="609" t="str">
        <f>IFERROR(VLOOKUP(K38,【参考】数式用!$A$2:$N$57,14,FALSE),"")</f>
        <v/>
      </c>
      <c r="AO38" s="609" t="str">
        <f t="shared" si="5"/>
        <v/>
      </c>
      <c r="AP38" s="610" t="str">
        <f t="shared" si="6"/>
        <v/>
      </c>
      <c r="AQ38" s="611" t="str">
        <f t="shared" si="7"/>
        <v>入力済</v>
      </c>
      <c r="AR38" s="609" t="str">
        <f t="shared" si="8"/>
        <v/>
      </c>
      <c r="AS38" s="611" t="str">
        <f t="shared" si="9"/>
        <v>入力済</v>
      </c>
      <c r="AT38" s="611" t="str">
        <f t="shared" si="10"/>
        <v/>
      </c>
      <c r="AU38" s="611" t="str">
        <f t="shared" si="29"/>
        <v/>
      </c>
      <c r="AV38" s="609" t="str">
        <f t="shared" si="12"/>
        <v/>
      </c>
      <c r="AW38" s="609" t="str">
        <f t="shared" si="13"/>
        <v>入力済</v>
      </c>
      <c r="AX38" s="611" t="str">
        <f>IFERROR(VLOOKUP(K38,【参考】数式用!$AR$3:$AS$49,2, FALSE), "")</f>
        <v/>
      </c>
      <c r="AY38" s="609" t="str">
        <f t="shared" si="14"/>
        <v/>
      </c>
      <c r="AZ38" s="612" t="str">
        <f t="shared" si="15"/>
        <v>入力済</v>
      </c>
      <c r="BA38" s="611" t="str">
        <f>IFERROR(VLOOKUP(K38,【参考】数式用!$AX$3:$AY$59, 2, FALSE), "")</f>
        <v/>
      </c>
      <c r="BB38" s="609" t="str">
        <f t="shared" si="1"/>
        <v/>
      </c>
      <c r="BC38" s="612" t="str">
        <f t="shared" si="2"/>
        <v>入力済</v>
      </c>
      <c r="BD38" s="613" t="str">
        <f t="shared" si="17"/>
        <v/>
      </c>
      <c r="BE38" s="613" t="str">
        <f t="shared" si="3"/>
        <v/>
      </c>
      <c r="BF38" s="51"/>
      <c r="BG38" s="51"/>
      <c r="BH38" s="51"/>
      <c r="BI38" s="51"/>
      <c r="BJ38" s="51"/>
      <c r="BK38" s="51"/>
      <c r="BL38" s="51"/>
    </row>
    <row r="39" spans="1:64" s="181" customFormat="1" ht="109.9" customHeight="1" thickBot="1">
      <c r="A39" s="599">
        <v>28</v>
      </c>
      <c r="B39" s="913" t="str">
        <f>IF(基本情報入力シート!B67="","",基本情報入力シート!B67)</f>
        <v/>
      </c>
      <c r="C39" s="914"/>
      <c r="D39" s="914"/>
      <c r="E39" s="914"/>
      <c r="F39" s="915"/>
      <c r="G39" s="600" t="str">
        <f>IF(基本情報入力シート!L67="", "", 基本情報入力シート!L67)</f>
        <v/>
      </c>
      <c r="H39" s="600" t="str">
        <f>IF(基本情報入力シート!Q67="", "", 基本情報入力シート!Q67)</f>
        <v/>
      </c>
      <c r="I39" s="600" t="str">
        <f>IF(基本情報入力シート!V67="", "", 基本情報入力シート!V67)</f>
        <v/>
      </c>
      <c r="J39" s="600" t="str">
        <f>IF(基本情報入力シート!W67="", "", 基本情報入力シート!W67)</f>
        <v/>
      </c>
      <c r="K39" s="600"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01" t="s">
        <v>170</v>
      </c>
      <c r="Q39" s="225"/>
      <c r="R39" s="602" t="s">
        <v>253</v>
      </c>
      <c r="S39" s="225"/>
      <c r="T39" s="602" t="s">
        <v>254</v>
      </c>
      <c r="U39" s="225"/>
      <c r="V39" s="602" t="s">
        <v>253</v>
      </c>
      <c r="W39" s="225"/>
      <c r="X39" s="602" t="s">
        <v>172</v>
      </c>
      <c r="Y39" s="602" t="s">
        <v>256</v>
      </c>
      <c r="Z39" s="602" t="str">
        <f t="shared" si="16"/>
        <v/>
      </c>
      <c r="AA39" s="603" t="s">
        <v>257</v>
      </c>
      <c r="AB39" s="604" t="str">
        <f t="shared" si="28"/>
        <v/>
      </c>
      <c r="AC39" s="605" t="str">
        <f>IFERROR(ROUNDDOWN(ROUNDDOWN(ROUND(L39*VLOOKUP(K39,【参考】数式用!$A$4:$F$57,MATCH("処遇改善加算Ⅳ",【参考】数式用!$C$3:$F$3,0)+2,0),0)*M39,0)*Z39*0.5,0), "")</f>
        <v/>
      </c>
      <c r="AD39" s="245"/>
      <c r="AE39" s="246"/>
      <c r="AF39" s="246"/>
      <c r="AG39" s="247"/>
      <c r="AH39" s="248"/>
      <c r="AI39" s="249"/>
      <c r="AJ39" s="250"/>
      <c r="AK39" s="606" t="str">
        <f t="shared" si="4"/>
        <v/>
      </c>
      <c r="AL39" s="607" t="str">
        <f t="shared" si="0"/>
        <v/>
      </c>
      <c r="AM39" s="608"/>
      <c r="AN39" s="609" t="str">
        <f>IFERROR(VLOOKUP(K39,【参考】数式用!$A$2:$N$57,14,FALSE),"")</f>
        <v/>
      </c>
      <c r="AO39" s="609" t="str">
        <f t="shared" si="5"/>
        <v/>
      </c>
      <c r="AP39" s="610" t="str">
        <f t="shared" si="6"/>
        <v/>
      </c>
      <c r="AQ39" s="611" t="str">
        <f t="shared" si="7"/>
        <v>入力済</v>
      </c>
      <c r="AR39" s="609" t="str">
        <f t="shared" si="8"/>
        <v/>
      </c>
      <c r="AS39" s="611" t="str">
        <f t="shared" si="9"/>
        <v>入力済</v>
      </c>
      <c r="AT39" s="611" t="str">
        <f t="shared" si="10"/>
        <v/>
      </c>
      <c r="AU39" s="611" t="str">
        <f t="shared" si="29"/>
        <v/>
      </c>
      <c r="AV39" s="609" t="str">
        <f t="shared" si="12"/>
        <v/>
      </c>
      <c r="AW39" s="609" t="str">
        <f t="shared" si="13"/>
        <v>入力済</v>
      </c>
      <c r="AX39" s="611" t="str">
        <f>IFERROR(VLOOKUP(K39,【参考】数式用!$AR$3:$AS$49,2, FALSE), "")</f>
        <v/>
      </c>
      <c r="AY39" s="609" t="str">
        <f t="shared" si="14"/>
        <v/>
      </c>
      <c r="AZ39" s="612" t="str">
        <f t="shared" si="15"/>
        <v>入力済</v>
      </c>
      <c r="BA39" s="611" t="str">
        <f>IFERROR(VLOOKUP(K39,【参考】数式用!$AX$3:$AY$59, 2, FALSE), "")</f>
        <v/>
      </c>
      <c r="BB39" s="609" t="str">
        <f t="shared" si="1"/>
        <v/>
      </c>
      <c r="BC39" s="612" t="str">
        <f t="shared" si="2"/>
        <v>入力済</v>
      </c>
      <c r="BD39" s="613" t="str">
        <f t="shared" si="17"/>
        <v/>
      </c>
      <c r="BE39" s="613" t="str">
        <f t="shared" si="3"/>
        <v/>
      </c>
      <c r="BF39" s="51"/>
      <c r="BG39" s="51"/>
      <c r="BH39" s="51"/>
      <c r="BI39" s="51"/>
      <c r="BJ39" s="51"/>
      <c r="BK39" s="51"/>
      <c r="BL39" s="51"/>
    </row>
    <row r="40" spans="1:64" s="181" customFormat="1" ht="109.9" customHeight="1" thickBot="1">
      <c r="A40" s="599">
        <v>29</v>
      </c>
      <c r="B40" s="913" t="str">
        <f>IF(基本情報入力シート!B68="","",基本情報入力シート!B68)</f>
        <v/>
      </c>
      <c r="C40" s="914"/>
      <c r="D40" s="914"/>
      <c r="E40" s="914"/>
      <c r="F40" s="915"/>
      <c r="G40" s="600" t="str">
        <f>IF(基本情報入力シート!L68="", "", 基本情報入力シート!L68)</f>
        <v/>
      </c>
      <c r="H40" s="600" t="str">
        <f>IF(基本情報入力シート!Q68="", "", 基本情報入力シート!Q68)</f>
        <v/>
      </c>
      <c r="I40" s="600" t="str">
        <f>IF(基本情報入力シート!V68="", "", 基本情報入力シート!V68)</f>
        <v/>
      </c>
      <c r="J40" s="600" t="str">
        <f>IF(基本情報入力シート!W68="", "", 基本情報入力シート!W68)</f>
        <v/>
      </c>
      <c r="K40" s="600"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01" t="s">
        <v>170</v>
      </c>
      <c r="Q40" s="225"/>
      <c r="R40" s="602" t="s">
        <v>253</v>
      </c>
      <c r="S40" s="225"/>
      <c r="T40" s="602" t="s">
        <v>254</v>
      </c>
      <c r="U40" s="225"/>
      <c r="V40" s="602" t="s">
        <v>253</v>
      </c>
      <c r="W40" s="225"/>
      <c r="X40" s="602" t="s">
        <v>255</v>
      </c>
      <c r="Y40" s="602" t="s">
        <v>256</v>
      </c>
      <c r="Z40" s="602" t="str">
        <f t="shared" si="16"/>
        <v/>
      </c>
      <c r="AA40" s="603" t="s">
        <v>257</v>
      </c>
      <c r="AB40" s="604" t="str">
        <f t="shared" si="28"/>
        <v/>
      </c>
      <c r="AC40" s="605" t="str">
        <f>IFERROR(ROUNDDOWN(ROUNDDOWN(ROUND(L40*VLOOKUP(K40,【参考】数式用!$A$4:$F$57,MATCH("処遇改善加算Ⅳ",【参考】数式用!$C$3:$F$3,0)+2,0),0)*M40,0)*Z40*0.5,0), "")</f>
        <v/>
      </c>
      <c r="AD40" s="245"/>
      <c r="AE40" s="246"/>
      <c r="AF40" s="246"/>
      <c r="AG40" s="247"/>
      <c r="AH40" s="248"/>
      <c r="AI40" s="249"/>
      <c r="AJ40" s="250"/>
      <c r="AK40" s="606" t="str">
        <f t="shared" si="4"/>
        <v/>
      </c>
      <c r="AL40" s="607" t="str">
        <f t="shared" si="0"/>
        <v/>
      </c>
      <c r="AM40" s="608"/>
      <c r="AN40" s="609" t="str">
        <f>IFERROR(VLOOKUP(K40,【参考】数式用!$A$2:$N$57,14,FALSE),"")</f>
        <v/>
      </c>
      <c r="AO40" s="609" t="str">
        <f t="shared" si="5"/>
        <v/>
      </c>
      <c r="AP40" s="610" t="str">
        <f t="shared" si="6"/>
        <v/>
      </c>
      <c r="AQ40" s="611" t="str">
        <f t="shared" si="7"/>
        <v>入力済</v>
      </c>
      <c r="AR40" s="609" t="str">
        <f t="shared" si="8"/>
        <v/>
      </c>
      <c r="AS40" s="611" t="str">
        <f t="shared" si="9"/>
        <v>入力済</v>
      </c>
      <c r="AT40" s="611" t="str">
        <f t="shared" si="10"/>
        <v/>
      </c>
      <c r="AU40" s="611" t="str">
        <f t="shared" si="29"/>
        <v/>
      </c>
      <c r="AV40" s="609" t="str">
        <f t="shared" si="12"/>
        <v/>
      </c>
      <c r="AW40" s="609" t="str">
        <f t="shared" si="13"/>
        <v>入力済</v>
      </c>
      <c r="AX40" s="611" t="str">
        <f>IFERROR(VLOOKUP(K40,【参考】数式用!$AR$3:$AS$49,2, FALSE), "")</f>
        <v/>
      </c>
      <c r="AY40" s="609" t="str">
        <f t="shared" si="14"/>
        <v/>
      </c>
      <c r="AZ40" s="612" t="str">
        <f t="shared" si="15"/>
        <v>入力済</v>
      </c>
      <c r="BA40" s="611" t="str">
        <f>IFERROR(VLOOKUP(K40,【参考】数式用!$AX$3:$AY$59, 2, FALSE), "")</f>
        <v/>
      </c>
      <c r="BB40" s="609" t="str">
        <f t="shared" si="1"/>
        <v/>
      </c>
      <c r="BC40" s="612" t="str">
        <f t="shared" si="2"/>
        <v>入力済</v>
      </c>
      <c r="BD40" s="613" t="str">
        <f t="shared" si="17"/>
        <v/>
      </c>
      <c r="BE40" s="613" t="str">
        <f t="shared" si="3"/>
        <v/>
      </c>
      <c r="BF40" s="51"/>
      <c r="BG40" s="51"/>
      <c r="BH40" s="51"/>
      <c r="BI40" s="51"/>
      <c r="BJ40" s="51"/>
      <c r="BK40" s="51"/>
      <c r="BL40" s="51"/>
    </row>
    <row r="41" spans="1:64" ht="109.9" customHeight="1" thickBot="1">
      <c r="A41" s="599">
        <v>30</v>
      </c>
      <c r="B41" s="913" t="str">
        <f>IF(基本情報入力シート!B69="","",基本情報入力シート!B69)</f>
        <v/>
      </c>
      <c r="C41" s="914"/>
      <c r="D41" s="914"/>
      <c r="E41" s="914"/>
      <c r="F41" s="915"/>
      <c r="G41" s="600" t="str">
        <f>IF(基本情報入力シート!L69="", "", 基本情報入力シート!L69)</f>
        <v/>
      </c>
      <c r="H41" s="600" t="str">
        <f>IF(基本情報入力シート!Q69="", "", 基本情報入力シート!Q69)</f>
        <v/>
      </c>
      <c r="I41" s="600" t="str">
        <f>IF(基本情報入力シート!V69="", "", 基本情報入力シート!V69)</f>
        <v/>
      </c>
      <c r="J41" s="600" t="str">
        <f>IF(基本情報入力シート!W69="", "", 基本情報入力シート!W69)</f>
        <v/>
      </c>
      <c r="K41" s="600"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01" t="s">
        <v>170</v>
      </c>
      <c r="Q41" s="225"/>
      <c r="R41" s="602" t="s">
        <v>253</v>
      </c>
      <c r="S41" s="225"/>
      <c r="T41" s="602" t="s">
        <v>254</v>
      </c>
      <c r="U41" s="225"/>
      <c r="V41" s="602" t="s">
        <v>253</v>
      </c>
      <c r="W41" s="225"/>
      <c r="X41" s="602" t="s">
        <v>255</v>
      </c>
      <c r="Y41" s="602" t="s">
        <v>256</v>
      </c>
      <c r="Z41" s="602" t="str">
        <f t="shared" si="16"/>
        <v/>
      </c>
      <c r="AA41" s="603" t="s">
        <v>257</v>
      </c>
      <c r="AB41" s="604" t="str">
        <f t="shared" si="28"/>
        <v/>
      </c>
      <c r="AC41" s="605" t="str">
        <f>IFERROR(ROUNDDOWN(ROUNDDOWN(ROUND(L41*VLOOKUP(K41,【参考】数式用!$A$4:$F$57,MATCH("処遇改善加算Ⅳ",【参考】数式用!$C$3:$F$3,0)+2,0),0)*M41,0)*Z41*0.5,0), "")</f>
        <v/>
      </c>
      <c r="AD41" s="245"/>
      <c r="AE41" s="246"/>
      <c r="AF41" s="246"/>
      <c r="AG41" s="247"/>
      <c r="AH41" s="248"/>
      <c r="AI41" s="249"/>
      <c r="AJ41" s="250"/>
      <c r="AK41" s="606" t="str">
        <f t="shared" si="4"/>
        <v/>
      </c>
      <c r="AL41" s="607" t="str">
        <f t="shared" si="0"/>
        <v/>
      </c>
      <c r="AM41" s="608"/>
      <c r="AN41" s="609" t="str">
        <f>IFERROR(VLOOKUP(K41,【参考】数式用!$A$2:$N$57,14,FALSE),"")</f>
        <v/>
      </c>
      <c r="AO41" s="609" t="str">
        <f t="shared" si="5"/>
        <v/>
      </c>
      <c r="AP41" s="610" t="str">
        <f t="shared" si="6"/>
        <v/>
      </c>
      <c r="AQ41" s="611" t="str">
        <f t="shared" si="7"/>
        <v>入力済</v>
      </c>
      <c r="AR41" s="609" t="str">
        <f t="shared" si="8"/>
        <v/>
      </c>
      <c r="AS41" s="611" t="str">
        <f t="shared" si="9"/>
        <v>入力済</v>
      </c>
      <c r="AT41" s="611" t="str">
        <f t="shared" si="10"/>
        <v/>
      </c>
      <c r="AU41" s="611" t="str">
        <f t="shared" si="29"/>
        <v/>
      </c>
      <c r="AV41" s="609" t="str">
        <f t="shared" si="12"/>
        <v/>
      </c>
      <c r="AW41" s="609" t="str">
        <f t="shared" si="13"/>
        <v>入力済</v>
      </c>
      <c r="AX41" s="611" t="str">
        <f>IFERROR(VLOOKUP(K41,【参考】数式用!$AR$3:$AS$49,2, FALSE), "")</f>
        <v/>
      </c>
      <c r="AY41" s="609" t="str">
        <f t="shared" si="14"/>
        <v/>
      </c>
      <c r="AZ41" s="612" t="str">
        <f t="shared" si="15"/>
        <v>入力済</v>
      </c>
      <c r="BA41" s="611" t="str">
        <f>IFERROR(VLOOKUP(K41,【参考】数式用!$AX$3:$AY$59, 2, FALSE), "")</f>
        <v/>
      </c>
      <c r="BB41" s="609" t="str">
        <f t="shared" si="1"/>
        <v/>
      </c>
      <c r="BC41" s="612" t="str">
        <f t="shared" si="2"/>
        <v>入力済</v>
      </c>
      <c r="BD41" s="613" t="str">
        <f t="shared" si="17"/>
        <v/>
      </c>
      <c r="BE41" s="613" t="str">
        <f t="shared" si="3"/>
        <v/>
      </c>
    </row>
    <row r="42" spans="1:64" ht="109.9" customHeight="1" thickBot="1">
      <c r="A42" s="599">
        <v>31</v>
      </c>
      <c r="B42" s="913" t="str">
        <f>IF(基本情報入力シート!B70="","",基本情報入力シート!B70)</f>
        <v/>
      </c>
      <c r="C42" s="914"/>
      <c r="D42" s="914"/>
      <c r="E42" s="914"/>
      <c r="F42" s="915"/>
      <c r="G42" s="600" t="str">
        <f>IF(基本情報入力シート!L70="", "", 基本情報入力シート!L70)</f>
        <v/>
      </c>
      <c r="H42" s="600" t="str">
        <f>IF(基本情報入力シート!Q70="", "", 基本情報入力シート!Q70)</f>
        <v/>
      </c>
      <c r="I42" s="600" t="str">
        <f>IF(基本情報入力シート!V70="", "", 基本情報入力シート!V70)</f>
        <v/>
      </c>
      <c r="J42" s="600" t="str">
        <f>IF(基本情報入力シート!W70="", "", 基本情報入力シート!W70)</f>
        <v/>
      </c>
      <c r="K42" s="600"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01" t="s">
        <v>170</v>
      </c>
      <c r="Q42" s="225"/>
      <c r="R42" s="602" t="s">
        <v>253</v>
      </c>
      <c r="S42" s="225"/>
      <c r="T42" s="602" t="s">
        <v>254</v>
      </c>
      <c r="U42" s="225"/>
      <c r="V42" s="602" t="s">
        <v>253</v>
      </c>
      <c r="W42" s="225"/>
      <c r="X42" s="602" t="s">
        <v>255</v>
      </c>
      <c r="Y42" s="602" t="s">
        <v>256</v>
      </c>
      <c r="Z42" s="602" t="str">
        <f t="shared" si="16"/>
        <v/>
      </c>
      <c r="AA42" s="603" t="s">
        <v>257</v>
      </c>
      <c r="AB42" s="604" t="str">
        <f t="shared" si="28"/>
        <v/>
      </c>
      <c r="AC42" s="605" t="str">
        <f>IFERROR(ROUNDDOWN(ROUNDDOWN(ROUND(L42*VLOOKUP(K42,【参考】数式用!$A$4:$F$57,MATCH("処遇改善加算Ⅳ",【参考】数式用!$C$3:$F$3,0)+2,0),0)*M42,0)*Z42*0.5,0), "")</f>
        <v/>
      </c>
      <c r="AD42" s="245"/>
      <c r="AE42" s="246"/>
      <c r="AF42" s="246"/>
      <c r="AG42" s="247"/>
      <c r="AH42" s="248"/>
      <c r="AI42" s="249"/>
      <c r="AJ42" s="250"/>
      <c r="AK42" s="606" t="str">
        <f t="shared" si="4"/>
        <v/>
      </c>
      <c r="AL42" s="607" t="str">
        <f t="shared" si="0"/>
        <v/>
      </c>
      <c r="AM42" s="608"/>
      <c r="AN42" s="609" t="str">
        <f>IFERROR(VLOOKUP(K42,【参考】数式用!$A$2:$N$57,14,FALSE),"")</f>
        <v/>
      </c>
      <c r="AO42" s="609" t="str">
        <f t="shared" si="5"/>
        <v/>
      </c>
      <c r="AP42" s="610" t="str">
        <f t="shared" si="6"/>
        <v/>
      </c>
      <c r="AQ42" s="611" t="str">
        <f t="shared" si="7"/>
        <v>入力済</v>
      </c>
      <c r="AR42" s="609" t="str">
        <f t="shared" si="8"/>
        <v/>
      </c>
      <c r="AS42" s="611" t="str">
        <f t="shared" si="9"/>
        <v>入力済</v>
      </c>
      <c r="AT42" s="611" t="str">
        <f t="shared" si="10"/>
        <v/>
      </c>
      <c r="AU42" s="611" t="str">
        <f t="shared" si="29"/>
        <v/>
      </c>
      <c r="AV42" s="609" t="str">
        <f t="shared" si="12"/>
        <v/>
      </c>
      <c r="AW42" s="609" t="str">
        <f t="shared" si="13"/>
        <v>入力済</v>
      </c>
      <c r="AX42" s="611" t="str">
        <f>IFERROR(VLOOKUP(K42,【参考】数式用!$AR$3:$AS$49,2, FALSE), "")</f>
        <v/>
      </c>
      <c r="AY42" s="609" t="str">
        <f t="shared" si="14"/>
        <v/>
      </c>
      <c r="AZ42" s="612" t="str">
        <f t="shared" si="15"/>
        <v>入力済</v>
      </c>
      <c r="BA42" s="611" t="str">
        <f>IFERROR(VLOOKUP(K42,【参考】数式用!$AX$3:$AY$59, 2, FALSE), "")</f>
        <v/>
      </c>
      <c r="BB42" s="609" t="str">
        <f t="shared" si="1"/>
        <v/>
      </c>
      <c r="BC42" s="612" t="str">
        <f t="shared" si="2"/>
        <v>入力済</v>
      </c>
      <c r="BD42" s="613" t="str">
        <f t="shared" si="17"/>
        <v/>
      </c>
      <c r="BE42" s="613" t="str">
        <f t="shared" si="3"/>
        <v/>
      </c>
    </row>
    <row r="43" spans="1:64" ht="109.9" customHeight="1" thickBot="1">
      <c r="A43" s="599">
        <v>32</v>
      </c>
      <c r="B43" s="913" t="str">
        <f>IF(基本情報入力シート!B71="","",基本情報入力シート!B71)</f>
        <v/>
      </c>
      <c r="C43" s="914"/>
      <c r="D43" s="914"/>
      <c r="E43" s="914"/>
      <c r="F43" s="915"/>
      <c r="G43" s="600" t="str">
        <f>IF(基本情報入力シート!L71="", "", 基本情報入力シート!L71)</f>
        <v/>
      </c>
      <c r="H43" s="600" t="str">
        <f>IF(基本情報入力シート!Q71="", "", 基本情報入力シート!Q71)</f>
        <v/>
      </c>
      <c r="I43" s="600" t="str">
        <f>IF(基本情報入力シート!V71="", "", 基本情報入力シート!V71)</f>
        <v/>
      </c>
      <c r="J43" s="600" t="str">
        <f>IF(基本情報入力シート!W71="", "", 基本情報入力シート!W71)</f>
        <v/>
      </c>
      <c r="K43" s="600"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01" t="s">
        <v>170</v>
      </c>
      <c r="Q43" s="225"/>
      <c r="R43" s="602" t="s">
        <v>253</v>
      </c>
      <c r="S43" s="225"/>
      <c r="T43" s="602" t="s">
        <v>254</v>
      </c>
      <c r="U43" s="225"/>
      <c r="V43" s="602" t="s">
        <v>253</v>
      </c>
      <c r="W43" s="225"/>
      <c r="X43" s="602" t="s">
        <v>172</v>
      </c>
      <c r="Y43" s="602" t="s">
        <v>256</v>
      </c>
      <c r="Z43" s="602" t="str">
        <f t="shared" si="16"/>
        <v/>
      </c>
      <c r="AA43" s="603" t="s">
        <v>257</v>
      </c>
      <c r="AB43" s="604" t="str">
        <f t="shared" si="28"/>
        <v/>
      </c>
      <c r="AC43" s="605" t="str">
        <f>IFERROR(ROUNDDOWN(ROUNDDOWN(ROUND(L43*VLOOKUP(K43,【参考】数式用!$A$4:$F$57,MATCH("処遇改善加算Ⅳ",【参考】数式用!$C$3:$F$3,0)+2,0),0)*M43,0)*Z43*0.5,0), "")</f>
        <v/>
      </c>
      <c r="AD43" s="245"/>
      <c r="AE43" s="246"/>
      <c r="AF43" s="246"/>
      <c r="AG43" s="247"/>
      <c r="AH43" s="248"/>
      <c r="AI43" s="249"/>
      <c r="AJ43" s="250"/>
      <c r="AK43" s="606" t="str">
        <f t="shared" si="4"/>
        <v/>
      </c>
      <c r="AL43" s="607" t="str">
        <f t="shared" si="0"/>
        <v/>
      </c>
      <c r="AM43" s="608"/>
      <c r="AN43" s="609" t="str">
        <f>IFERROR(VLOOKUP(K43,【参考】数式用!$A$2:$N$57,14,FALSE),"")</f>
        <v/>
      </c>
      <c r="AO43" s="609" t="str">
        <f t="shared" si="5"/>
        <v/>
      </c>
      <c r="AP43" s="610" t="str">
        <f t="shared" si="6"/>
        <v/>
      </c>
      <c r="AQ43" s="611" t="str">
        <f t="shared" si="7"/>
        <v>入力済</v>
      </c>
      <c r="AR43" s="609" t="str">
        <f t="shared" si="8"/>
        <v/>
      </c>
      <c r="AS43" s="611" t="str">
        <f t="shared" si="9"/>
        <v>入力済</v>
      </c>
      <c r="AT43" s="611" t="str">
        <f t="shared" si="10"/>
        <v/>
      </c>
      <c r="AU43" s="611" t="str">
        <f t="shared" si="29"/>
        <v/>
      </c>
      <c r="AV43" s="609" t="str">
        <f t="shared" si="12"/>
        <v/>
      </c>
      <c r="AW43" s="609" t="str">
        <f t="shared" si="13"/>
        <v>入力済</v>
      </c>
      <c r="AX43" s="611" t="str">
        <f>IFERROR(VLOOKUP(K43,【参考】数式用!$AR$3:$AS$49,2, FALSE), "")</f>
        <v/>
      </c>
      <c r="AY43" s="609" t="str">
        <f t="shared" si="14"/>
        <v/>
      </c>
      <c r="AZ43" s="612" t="str">
        <f t="shared" si="15"/>
        <v>入力済</v>
      </c>
      <c r="BA43" s="611" t="str">
        <f>IFERROR(VLOOKUP(K43,【参考】数式用!$AX$3:$AY$59, 2, FALSE), "")</f>
        <v/>
      </c>
      <c r="BB43" s="609" t="str">
        <f t="shared" si="1"/>
        <v/>
      </c>
      <c r="BC43" s="612" t="str">
        <f t="shared" si="2"/>
        <v>入力済</v>
      </c>
      <c r="BD43" s="613" t="str">
        <f t="shared" si="17"/>
        <v/>
      </c>
      <c r="BE43" s="613" t="str">
        <f t="shared" si="3"/>
        <v/>
      </c>
    </row>
    <row r="44" spans="1:64" ht="109.9" customHeight="1" thickBot="1">
      <c r="A44" s="599">
        <v>33</v>
      </c>
      <c r="B44" s="913" t="str">
        <f>IF(基本情報入力シート!B72="","",基本情報入力シート!B72)</f>
        <v/>
      </c>
      <c r="C44" s="914"/>
      <c r="D44" s="914"/>
      <c r="E44" s="914"/>
      <c r="F44" s="915"/>
      <c r="G44" s="600" t="str">
        <f>IF(基本情報入力シート!L72="", "", 基本情報入力シート!L72)</f>
        <v/>
      </c>
      <c r="H44" s="600" t="str">
        <f>IF(基本情報入力シート!Q72="", "", 基本情報入力シート!Q72)</f>
        <v/>
      </c>
      <c r="I44" s="600" t="str">
        <f>IF(基本情報入力シート!V72="", "", 基本情報入力シート!V72)</f>
        <v/>
      </c>
      <c r="J44" s="600" t="str">
        <f>IF(基本情報入力シート!W72="", "", 基本情報入力シート!W72)</f>
        <v/>
      </c>
      <c r="K44" s="600"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01" t="s">
        <v>170</v>
      </c>
      <c r="Q44" s="225"/>
      <c r="R44" s="602" t="s">
        <v>253</v>
      </c>
      <c r="S44" s="225"/>
      <c r="T44" s="602" t="s">
        <v>254</v>
      </c>
      <c r="U44" s="225"/>
      <c r="V44" s="602" t="s">
        <v>253</v>
      </c>
      <c r="W44" s="225"/>
      <c r="X44" s="602" t="s">
        <v>172</v>
      </c>
      <c r="Y44" s="602" t="s">
        <v>256</v>
      </c>
      <c r="Z44" s="602" t="str">
        <f t="shared" si="16"/>
        <v/>
      </c>
      <c r="AA44" s="603" t="s">
        <v>257</v>
      </c>
      <c r="AB44" s="604" t="str">
        <f t="shared" si="28"/>
        <v/>
      </c>
      <c r="AC44" s="605" t="str">
        <f>IFERROR(ROUNDDOWN(ROUNDDOWN(ROUND(L44*VLOOKUP(K44,【参考】数式用!$A$4:$F$57,MATCH("処遇改善加算Ⅳ",【参考】数式用!$C$3:$F$3,0)+2,0),0)*M44,0)*Z44*0.5,0), "")</f>
        <v/>
      </c>
      <c r="AD44" s="245"/>
      <c r="AE44" s="246"/>
      <c r="AF44" s="246"/>
      <c r="AG44" s="247"/>
      <c r="AH44" s="248"/>
      <c r="AI44" s="249"/>
      <c r="AJ44" s="250"/>
      <c r="AK44" s="606" t="str">
        <f t="shared" si="4"/>
        <v/>
      </c>
      <c r="AL44" s="607"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08"/>
      <c r="AN44" s="609" t="str">
        <f>IFERROR(VLOOKUP(K44,【参考】数式用!$A$2:$N$57,14,FALSE),"")</f>
        <v/>
      </c>
      <c r="AO44" s="609" t="str">
        <f t="shared" si="5"/>
        <v/>
      </c>
      <c r="AP44" s="610" t="str">
        <f t="shared" si="6"/>
        <v/>
      </c>
      <c r="AQ44" s="611" t="str">
        <f t="shared" si="7"/>
        <v>入力済</v>
      </c>
      <c r="AR44" s="609" t="str">
        <f t="shared" si="8"/>
        <v/>
      </c>
      <c r="AS44" s="611" t="str">
        <f t="shared" si="9"/>
        <v>入力済</v>
      </c>
      <c r="AT44" s="611" t="str">
        <f t="shared" si="10"/>
        <v/>
      </c>
      <c r="AU44" s="611" t="str">
        <f t="shared" si="29"/>
        <v/>
      </c>
      <c r="AV44" s="609" t="str">
        <f t="shared" si="12"/>
        <v/>
      </c>
      <c r="AW44" s="609" t="str">
        <f t="shared" si="13"/>
        <v>入力済</v>
      </c>
      <c r="AX44" s="611" t="str">
        <f>IFERROR(VLOOKUP(K44,【参考】数式用!$AR$3:$AS$49,2, FALSE), "")</f>
        <v/>
      </c>
      <c r="AY44" s="609" t="str">
        <f t="shared" si="14"/>
        <v/>
      </c>
      <c r="AZ44" s="612" t="str">
        <f t="shared" si="15"/>
        <v>入力済</v>
      </c>
      <c r="BA44" s="611" t="str">
        <f>IFERROR(VLOOKUP(K44,【参考】数式用!$AX$3:$AY$59, 2, FALSE), "")</f>
        <v/>
      </c>
      <c r="BB44" s="609" t="str">
        <f t="shared" ref="BB44:BB75" si="31">IF(COUNTIF(AE44:AH44,"*令和８年度特例要件を*")&gt;0,"AJ列に色付け","")</f>
        <v/>
      </c>
      <c r="BC44" s="612" t="str">
        <f t="shared" ref="BC44:BC75" si="32">IF(AND(COUNTIF(AE44:AH44,"*令和８年度特例要件を*")&gt;0,AJ44=""), "未入力","入力済")</f>
        <v>入力済</v>
      </c>
      <c r="BD44" s="613" t="str">
        <f t="shared" si="17"/>
        <v/>
      </c>
      <c r="BE44" s="613" t="str">
        <f t="shared" ref="BE44:BE77" si="33">G44</f>
        <v/>
      </c>
    </row>
    <row r="45" spans="1:64" ht="109.9" customHeight="1" thickBot="1">
      <c r="A45" s="599">
        <v>34</v>
      </c>
      <c r="B45" s="913" t="str">
        <f>IF(基本情報入力シート!B73="","",基本情報入力シート!B73)</f>
        <v/>
      </c>
      <c r="C45" s="914"/>
      <c r="D45" s="914"/>
      <c r="E45" s="914"/>
      <c r="F45" s="915"/>
      <c r="G45" s="600" t="str">
        <f>IF(基本情報入力シート!L73="", "", 基本情報入力シート!L73)</f>
        <v/>
      </c>
      <c r="H45" s="600" t="str">
        <f>IF(基本情報入力シート!Q73="", "", 基本情報入力シート!Q73)</f>
        <v/>
      </c>
      <c r="I45" s="600" t="str">
        <f>IF(基本情報入力シート!V73="", "", 基本情報入力シート!V73)</f>
        <v/>
      </c>
      <c r="J45" s="600" t="str">
        <f>IF(基本情報入力シート!W73="", "", 基本情報入力シート!W73)</f>
        <v/>
      </c>
      <c r="K45" s="600"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01" t="s">
        <v>170</v>
      </c>
      <c r="Q45" s="225"/>
      <c r="R45" s="602" t="s">
        <v>253</v>
      </c>
      <c r="S45" s="225"/>
      <c r="T45" s="602" t="s">
        <v>254</v>
      </c>
      <c r="U45" s="225"/>
      <c r="V45" s="602" t="s">
        <v>253</v>
      </c>
      <c r="W45" s="225"/>
      <c r="X45" s="602" t="s">
        <v>255</v>
      </c>
      <c r="Y45" s="602" t="s">
        <v>256</v>
      </c>
      <c r="Z45" s="602" t="str">
        <f t="shared" si="16"/>
        <v/>
      </c>
      <c r="AA45" s="603" t="s">
        <v>257</v>
      </c>
      <c r="AB45" s="604" t="str">
        <f t="shared" si="28"/>
        <v/>
      </c>
      <c r="AC45" s="605" t="str">
        <f>IFERROR(ROUNDDOWN(ROUNDDOWN(ROUND(L45*VLOOKUP(K45,【参考】数式用!$A$4:$F$57,MATCH("処遇改善加算Ⅳ",【参考】数式用!$C$3:$F$3,0)+2,0),0)*M45,0)*Z45*0.5,0), "")</f>
        <v/>
      </c>
      <c r="AD45" s="245"/>
      <c r="AE45" s="246"/>
      <c r="AF45" s="246"/>
      <c r="AG45" s="247"/>
      <c r="AH45" s="248"/>
      <c r="AI45" s="249"/>
      <c r="AJ45" s="250"/>
      <c r="AK45" s="606" t="str">
        <f t="shared" si="4"/>
        <v/>
      </c>
      <c r="AL45" s="607" t="str">
        <f t="shared" si="30"/>
        <v/>
      </c>
      <c r="AM45" s="608"/>
      <c r="AN45" s="609" t="str">
        <f>IFERROR(VLOOKUP(K45,【参考】数式用!$A$2:$N$57,14,FALSE),"")</f>
        <v/>
      </c>
      <c r="AO45" s="609" t="str">
        <f t="shared" si="5"/>
        <v/>
      </c>
      <c r="AP45" s="610" t="str">
        <f t="shared" si="6"/>
        <v/>
      </c>
      <c r="AQ45" s="611" t="str">
        <f t="shared" si="7"/>
        <v>入力済</v>
      </c>
      <c r="AR45" s="609" t="str">
        <f t="shared" si="8"/>
        <v/>
      </c>
      <c r="AS45" s="611" t="str">
        <f t="shared" si="9"/>
        <v>入力済</v>
      </c>
      <c r="AT45" s="611" t="str">
        <f t="shared" si="10"/>
        <v/>
      </c>
      <c r="AU45" s="611" t="str">
        <f t="shared" si="29"/>
        <v/>
      </c>
      <c r="AV45" s="609" t="str">
        <f t="shared" si="12"/>
        <v/>
      </c>
      <c r="AW45" s="609" t="str">
        <f t="shared" si="13"/>
        <v>入力済</v>
      </c>
      <c r="AX45" s="611" t="str">
        <f>IFERROR(VLOOKUP(K45,【参考】数式用!$AR$3:$AS$49,2, FALSE), "")</f>
        <v/>
      </c>
      <c r="AY45" s="609" t="str">
        <f t="shared" si="14"/>
        <v/>
      </c>
      <c r="AZ45" s="612" t="str">
        <f t="shared" si="15"/>
        <v>入力済</v>
      </c>
      <c r="BA45" s="611" t="str">
        <f>IFERROR(VLOOKUP(K45,【参考】数式用!$AX$3:$AY$59, 2, FALSE), "")</f>
        <v/>
      </c>
      <c r="BB45" s="609" t="str">
        <f t="shared" si="31"/>
        <v/>
      </c>
      <c r="BC45" s="612" t="str">
        <f t="shared" si="32"/>
        <v>入力済</v>
      </c>
      <c r="BD45" s="613" t="str">
        <f t="shared" si="17"/>
        <v/>
      </c>
      <c r="BE45" s="613" t="str">
        <f t="shared" si="33"/>
        <v/>
      </c>
    </row>
    <row r="46" spans="1:64" ht="109.9" customHeight="1" thickBot="1">
      <c r="A46" s="599">
        <v>35</v>
      </c>
      <c r="B46" s="913" t="str">
        <f>IF(基本情報入力シート!B74="","",基本情報入力シート!B74)</f>
        <v/>
      </c>
      <c r="C46" s="914"/>
      <c r="D46" s="914"/>
      <c r="E46" s="914"/>
      <c r="F46" s="915"/>
      <c r="G46" s="600" t="str">
        <f>IF(基本情報入力シート!L74="", "", 基本情報入力シート!L74)</f>
        <v/>
      </c>
      <c r="H46" s="600" t="str">
        <f>IF(基本情報入力シート!Q74="", "", 基本情報入力シート!Q74)</f>
        <v/>
      </c>
      <c r="I46" s="600" t="str">
        <f>IF(基本情報入力シート!V74="", "", 基本情報入力シート!V74)</f>
        <v/>
      </c>
      <c r="J46" s="600" t="str">
        <f>IF(基本情報入力シート!W74="", "", 基本情報入力シート!W74)</f>
        <v/>
      </c>
      <c r="K46" s="600"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01" t="s">
        <v>170</v>
      </c>
      <c r="Q46" s="225"/>
      <c r="R46" s="602" t="s">
        <v>253</v>
      </c>
      <c r="S46" s="225"/>
      <c r="T46" s="602" t="s">
        <v>254</v>
      </c>
      <c r="U46" s="225"/>
      <c r="V46" s="602" t="s">
        <v>253</v>
      </c>
      <c r="W46" s="225"/>
      <c r="X46" s="602" t="s">
        <v>255</v>
      </c>
      <c r="Y46" s="602" t="s">
        <v>256</v>
      </c>
      <c r="Z46" s="602" t="str">
        <f t="shared" si="16"/>
        <v/>
      </c>
      <c r="AA46" s="603" t="s">
        <v>257</v>
      </c>
      <c r="AB46" s="604" t="str">
        <f t="shared" si="28"/>
        <v/>
      </c>
      <c r="AC46" s="605" t="str">
        <f>IFERROR(ROUNDDOWN(ROUNDDOWN(ROUND(L46*VLOOKUP(K46,【参考】数式用!$A$4:$F$57,MATCH("処遇改善加算Ⅳ",【参考】数式用!$C$3:$F$3,0)+2,0),0)*M46,0)*Z46*0.5,0), "")</f>
        <v/>
      </c>
      <c r="AD46" s="245"/>
      <c r="AE46" s="246"/>
      <c r="AF46" s="246"/>
      <c r="AG46" s="247"/>
      <c r="AH46" s="248"/>
      <c r="AI46" s="249"/>
      <c r="AJ46" s="250"/>
      <c r="AK46" s="606" t="str">
        <f t="shared" si="4"/>
        <v/>
      </c>
      <c r="AL46" s="607" t="str">
        <f t="shared" si="30"/>
        <v/>
      </c>
      <c r="AM46" s="608"/>
      <c r="AN46" s="609" t="str">
        <f>IFERROR(VLOOKUP(K46,【参考】数式用!$A$2:$N$57,14,FALSE),"")</f>
        <v/>
      </c>
      <c r="AO46" s="609" t="str">
        <f t="shared" si="5"/>
        <v/>
      </c>
      <c r="AP46" s="610" t="str">
        <f t="shared" si="6"/>
        <v/>
      </c>
      <c r="AQ46" s="611" t="str">
        <f t="shared" si="7"/>
        <v>入力済</v>
      </c>
      <c r="AR46" s="609" t="str">
        <f t="shared" si="8"/>
        <v/>
      </c>
      <c r="AS46" s="611" t="str">
        <f t="shared" si="9"/>
        <v>入力済</v>
      </c>
      <c r="AT46" s="611" t="str">
        <f t="shared" si="10"/>
        <v/>
      </c>
      <c r="AU46" s="611" t="str">
        <f t="shared" si="29"/>
        <v/>
      </c>
      <c r="AV46" s="609" t="str">
        <f t="shared" si="12"/>
        <v/>
      </c>
      <c r="AW46" s="609" t="str">
        <f t="shared" si="13"/>
        <v>入力済</v>
      </c>
      <c r="AX46" s="611" t="str">
        <f>IFERROR(VLOOKUP(K46,【参考】数式用!$AR$3:$AS$49,2, FALSE), "")</f>
        <v/>
      </c>
      <c r="AY46" s="609" t="str">
        <f t="shared" si="14"/>
        <v/>
      </c>
      <c r="AZ46" s="612" t="str">
        <f t="shared" si="15"/>
        <v>入力済</v>
      </c>
      <c r="BA46" s="611" t="str">
        <f>IFERROR(VLOOKUP(K46,【参考】数式用!$AX$3:$AY$59, 2, FALSE), "")</f>
        <v/>
      </c>
      <c r="BB46" s="609" t="str">
        <f t="shared" si="31"/>
        <v/>
      </c>
      <c r="BC46" s="612" t="str">
        <f t="shared" si="32"/>
        <v>入力済</v>
      </c>
      <c r="BD46" s="613" t="str">
        <f t="shared" si="17"/>
        <v/>
      </c>
      <c r="BE46" s="613" t="str">
        <f t="shared" si="33"/>
        <v/>
      </c>
    </row>
    <row r="47" spans="1:64" ht="109.9" customHeight="1" thickBot="1">
      <c r="A47" s="599">
        <v>36</v>
      </c>
      <c r="B47" s="913" t="str">
        <f>IF(基本情報入力シート!B75="","",基本情報入力シート!B75)</f>
        <v/>
      </c>
      <c r="C47" s="914"/>
      <c r="D47" s="914"/>
      <c r="E47" s="914"/>
      <c r="F47" s="915"/>
      <c r="G47" s="600" t="str">
        <f>IF(基本情報入力シート!L75="", "", 基本情報入力シート!L75)</f>
        <v/>
      </c>
      <c r="H47" s="600" t="str">
        <f>IF(基本情報入力シート!Q75="", "", 基本情報入力シート!Q75)</f>
        <v/>
      </c>
      <c r="I47" s="600" t="str">
        <f>IF(基本情報入力シート!V75="", "", 基本情報入力シート!V75)</f>
        <v/>
      </c>
      <c r="J47" s="600" t="str">
        <f>IF(基本情報入力シート!W75="", "", 基本情報入力シート!W75)</f>
        <v/>
      </c>
      <c r="K47" s="600"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01" t="s">
        <v>170</v>
      </c>
      <c r="Q47" s="225"/>
      <c r="R47" s="602" t="s">
        <v>253</v>
      </c>
      <c r="S47" s="225"/>
      <c r="T47" s="602" t="s">
        <v>254</v>
      </c>
      <c r="U47" s="225"/>
      <c r="V47" s="602" t="s">
        <v>253</v>
      </c>
      <c r="W47" s="225"/>
      <c r="X47" s="602" t="s">
        <v>255</v>
      </c>
      <c r="Y47" s="602" t="s">
        <v>256</v>
      </c>
      <c r="Z47" s="602" t="str">
        <f t="shared" si="16"/>
        <v/>
      </c>
      <c r="AA47" s="603" t="s">
        <v>257</v>
      </c>
      <c r="AB47" s="604" t="str">
        <f t="shared" si="28"/>
        <v/>
      </c>
      <c r="AC47" s="605" t="str">
        <f>IFERROR(ROUNDDOWN(ROUNDDOWN(ROUND(L47*VLOOKUP(K47,【参考】数式用!$A$4:$F$57,MATCH("処遇改善加算Ⅳ",【参考】数式用!$C$3:$F$3,0)+2,0),0)*M47,0)*Z47*0.5,0), "")</f>
        <v/>
      </c>
      <c r="AD47" s="245"/>
      <c r="AE47" s="246"/>
      <c r="AF47" s="246"/>
      <c r="AG47" s="247"/>
      <c r="AH47" s="248"/>
      <c r="AI47" s="249"/>
      <c r="AJ47" s="250"/>
      <c r="AK47" s="606" t="str">
        <f t="shared" si="4"/>
        <v/>
      </c>
      <c r="AL47" s="607" t="str">
        <f t="shared" si="30"/>
        <v/>
      </c>
      <c r="AM47" s="608"/>
      <c r="AN47" s="609" t="str">
        <f>IFERROR(VLOOKUP(K47,【参考】数式用!$A$2:$N$57,14,FALSE),"")</f>
        <v/>
      </c>
      <c r="AO47" s="609" t="str">
        <f t="shared" si="5"/>
        <v/>
      </c>
      <c r="AP47" s="610" t="str">
        <f t="shared" si="6"/>
        <v/>
      </c>
      <c r="AQ47" s="611" t="str">
        <f t="shared" si="7"/>
        <v>入力済</v>
      </c>
      <c r="AR47" s="609" t="str">
        <f t="shared" si="8"/>
        <v/>
      </c>
      <c r="AS47" s="611" t="str">
        <f t="shared" si="9"/>
        <v>入力済</v>
      </c>
      <c r="AT47" s="611" t="str">
        <f t="shared" si="10"/>
        <v/>
      </c>
      <c r="AU47" s="611" t="str">
        <f t="shared" si="29"/>
        <v/>
      </c>
      <c r="AV47" s="609" t="str">
        <f t="shared" si="12"/>
        <v/>
      </c>
      <c r="AW47" s="609" t="str">
        <f t="shared" si="13"/>
        <v>入力済</v>
      </c>
      <c r="AX47" s="611" t="str">
        <f>IFERROR(VLOOKUP(K47,【参考】数式用!$AR$3:$AS$49,2, FALSE), "")</f>
        <v/>
      </c>
      <c r="AY47" s="609" t="str">
        <f t="shared" si="14"/>
        <v/>
      </c>
      <c r="AZ47" s="612" t="str">
        <f t="shared" si="15"/>
        <v>入力済</v>
      </c>
      <c r="BA47" s="611" t="str">
        <f>IFERROR(VLOOKUP(K47,【参考】数式用!$AX$3:$AY$59, 2, FALSE), "")</f>
        <v/>
      </c>
      <c r="BB47" s="609" t="str">
        <f t="shared" si="31"/>
        <v/>
      </c>
      <c r="BC47" s="612" t="str">
        <f t="shared" si="32"/>
        <v>入力済</v>
      </c>
      <c r="BD47" s="613" t="str">
        <f t="shared" si="17"/>
        <v/>
      </c>
      <c r="BE47" s="613" t="str">
        <f t="shared" si="33"/>
        <v/>
      </c>
    </row>
    <row r="48" spans="1:64" ht="109.9" customHeight="1" thickBot="1">
      <c r="A48" s="599">
        <v>37</v>
      </c>
      <c r="B48" s="913" t="str">
        <f>IF(基本情報入力シート!B76="","",基本情報入力シート!B76)</f>
        <v/>
      </c>
      <c r="C48" s="914"/>
      <c r="D48" s="914"/>
      <c r="E48" s="914"/>
      <c r="F48" s="915"/>
      <c r="G48" s="600" t="str">
        <f>IF(基本情報入力シート!L76="", "", 基本情報入力シート!L76)</f>
        <v/>
      </c>
      <c r="H48" s="600" t="str">
        <f>IF(基本情報入力シート!Q76="", "", 基本情報入力シート!Q76)</f>
        <v/>
      </c>
      <c r="I48" s="600" t="str">
        <f>IF(基本情報入力シート!V76="", "", 基本情報入力シート!V76)</f>
        <v/>
      </c>
      <c r="J48" s="600" t="str">
        <f>IF(基本情報入力シート!W76="", "", 基本情報入力シート!W76)</f>
        <v/>
      </c>
      <c r="K48" s="600"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01" t="s">
        <v>170</v>
      </c>
      <c r="Q48" s="225"/>
      <c r="R48" s="602" t="s">
        <v>253</v>
      </c>
      <c r="S48" s="225"/>
      <c r="T48" s="602" t="s">
        <v>254</v>
      </c>
      <c r="U48" s="225"/>
      <c r="V48" s="602" t="s">
        <v>253</v>
      </c>
      <c r="W48" s="225"/>
      <c r="X48" s="602" t="s">
        <v>172</v>
      </c>
      <c r="Y48" s="602" t="s">
        <v>256</v>
      </c>
      <c r="Z48" s="602" t="str">
        <f t="shared" si="16"/>
        <v/>
      </c>
      <c r="AA48" s="603" t="s">
        <v>257</v>
      </c>
      <c r="AB48" s="604" t="str">
        <f t="shared" si="28"/>
        <v/>
      </c>
      <c r="AC48" s="605" t="str">
        <f>IFERROR(ROUNDDOWN(ROUNDDOWN(ROUND(L48*VLOOKUP(K48,【参考】数式用!$A$4:$F$57,MATCH("処遇改善加算Ⅳ",【参考】数式用!$C$3:$F$3,0)+2,0),0)*M48,0)*Z48*0.5,0), "")</f>
        <v/>
      </c>
      <c r="AD48" s="245"/>
      <c r="AE48" s="246"/>
      <c r="AF48" s="246"/>
      <c r="AG48" s="247"/>
      <c r="AH48" s="248"/>
      <c r="AI48" s="249"/>
      <c r="AJ48" s="250"/>
      <c r="AK48" s="606" t="str">
        <f t="shared" si="4"/>
        <v/>
      </c>
      <c r="AL48" s="607" t="str">
        <f t="shared" si="30"/>
        <v/>
      </c>
      <c r="AM48" s="608"/>
      <c r="AN48" s="609" t="str">
        <f>IFERROR(VLOOKUP(K48,【参考】数式用!$A$2:$N$57,14,FALSE),"")</f>
        <v/>
      </c>
      <c r="AO48" s="609" t="str">
        <f t="shared" si="5"/>
        <v/>
      </c>
      <c r="AP48" s="610" t="str">
        <f t="shared" si="6"/>
        <v/>
      </c>
      <c r="AQ48" s="611" t="str">
        <f t="shared" si="7"/>
        <v>入力済</v>
      </c>
      <c r="AR48" s="609" t="str">
        <f t="shared" si="8"/>
        <v/>
      </c>
      <c r="AS48" s="611" t="str">
        <f t="shared" si="9"/>
        <v>入力済</v>
      </c>
      <c r="AT48" s="611" t="str">
        <f t="shared" si="10"/>
        <v/>
      </c>
      <c r="AU48" s="611" t="str">
        <f t="shared" si="29"/>
        <v/>
      </c>
      <c r="AV48" s="609" t="str">
        <f t="shared" si="12"/>
        <v/>
      </c>
      <c r="AW48" s="609" t="str">
        <f t="shared" si="13"/>
        <v>入力済</v>
      </c>
      <c r="AX48" s="611" t="str">
        <f>IFERROR(VLOOKUP(K48,【参考】数式用!$AR$3:$AS$49,2, FALSE), "")</f>
        <v/>
      </c>
      <c r="AY48" s="609" t="str">
        <f t="shared" si="14"/>
        <v/>
      </c>
      <c r="AZ48" s="612" t="str">
        <f t="shared" si="15"/>
        <v>入力済</v>
      </c>
      <c r="BA48" s="611" t="str">
        <f>IFERROR(VLOOKUP(K48,【参考】数式用!$AX$3:$AY$59, 2, FALSE), "")</f>
        <v/>
      </c>
      <c r="BB48" s="609" t="str">
        <f t="shared" si="31"/>
        <v/>
      </c>
      <c r="BC48" s="612" t="str">
        <f t="shared" si="32"/>
        <v>入力済</v>
      </c>
      <c r="BD48" s="613" t="str">
        <f t="shared" si="17"/>
        <v/>
      </c>
      <c r="BE48" s="613" t="str">
        <f t="shared" si="33"/>
        <v/>
      </c>
    </row>
    <row r="49" spans="1:57" ht="109.9" customHeight="1" thickBot="1">
      <c r="A49" s="599">
        <v>38</v>
      </c>
      <c r="B49" s="913" t="str">
        <f>IF(基本情報入力シート!B77="","",基本情報入力シート!B77)</f>
        <v/>
      </c>
      <c r="C49" s="914"/>
      <c r="D49" s="914"/>
      <c r="E49" s="914"/>
      <c r="F49" s="915"/>
      <c r="G49" s="600" t="str">
        <f>IF(基本情報入力シート!L77="", "", 基本情報入力シート!L77)</f>
        <v/>
      </c>
      <c r="H49" s="600" t="str">
        <f>IF(基本情報入力シート!Q77="", "", 基本情報入力シート!Q77)</f>
        <v/>
      </c>
      <c r="I49" s="600" t="str">
        <f>IF(基本情報入力シート!V77="", "", 基本情報入力シート!V77)</f>
        <v/>
      </c>
      <c r="J49" s="600" t="str">
        <f>IF(基本情報入力シート!W77="", "", 基本情報入力シート!W77)</f>
        <v/>
      </c>
      <c r="K49" s="600"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01" t="s">
        <v>170</v>
      </c>
      <c r="Q49" s="225"/>
      <c r="R49" s="602" t="s">
        <v>253</v>
      </c>
      <c r="S49" s="225"/>
      <c r="T49" s="602" t="s">
        <v>254</v>
      </c>
      <c r="U49" s="225"/>
      <c r="V49" s="602" t="s">
        <v>253</v>
      </c>
      <c r="W49" s="225"/>
      <c r="X49" s="602" t="s">
        <v>255</v>
      </c>
      <c r="Y49" s="602" t="s">
        <v>256</v>
      </c>
      <c r="Z49" s="602" t="str">
        <f t="shared" si="16"/>
        <v/>
      </c>
      <c r="AA49" s="603" t="s">
        <v>257</v>
      </c>
      <c r="AB49" s="604" t="str">
        <f t="shared" si="28"/>
        <v/>
      </c>
      <c r="AC49" s="605" t="str">
        <f>IFERROR(ROUNDDOWN(ROUNDDOWN(ROUND(L49*VLOOKUP(K49,【参考】数式用!$A$4:$F$57,MATCH("処遇改善加算Ⅳ",【参考】数式用!$C$3:$F$3,0)+2,0),0)*M49,0)*Z49*0.5,0), "")</f>
        <v/>
      </c>
      <c r="AD49" s="245"/>
      <c r="AE49" s="246"/>
      <c r="AF49" s="246"/>
      <c r="AG49" s="247"/>
      <c r="AH49" s="248"/>
      <c r="AI49" s="249"/>
      <c r="AJ49" s="250"/>
      <c r="AK49" s="606" t="str">
        <f t="shared" si="4"/>
        <v/>
      </c>
      <c r="AL49" s="607" t="str">
        <f t="shared" si="30"/>
        <v/>
      </c>
      <c r="AM49" s="608"/>
      <c r="AN49" s="609" t="str">
        <f>IFERROR(VLOOKUP(K49,【参考】数式用!$A$2:$N$57,14,FALSE),"")</f>
        <v/>
      </c>
      <c r="AO49" s="609" t="str">
        <f t="shared" si="5"/>
        <v/>
      </c>
      <c r="AP49" s="610" t="str">
        <f t="shared" si="6"/>
        <v/>
      </c>
      <c r="AQ49" s="611" t="str">
        <f t="shared" si="7"/>
        <v>入力済</v>
      </c>
      <c r="AR49" s="609" t="str">
        <f t="shared" si="8"/>
        <v/>
      </c>
      <c r="AS49" s="611" t="str">
        <f t="shared" si="9"/>
        <v>入力済</v>
      </c>
      <c r="AT49" s="611" t="str">
        <f t="shared" si="10"/>
        <v/>
      </c>
      <c r="AU49" s="611" t="str">
        <f t="shared" si="29"/>
        <v/>
      </c>
      <c r="AV49" s="609" t="str">
        <f t="shared" si="12"/>
        <v/>
      </c>
      <c r="AW49" s="609" t="str">
        <f t="shared" si="13"/>
        <v>入力済</v>
      </c>
      <c r="AX49" s="611" t="str">
        <f>IFERROR(VLOOKUP(K49,【参考】数式用!$AR$3:$AS$49,2, FALSE), "")</f>
        <v/>
      </c>
      <c r="AY49" s="609" t="str">
        <f t="shared" si="14"/>
        <v/>
      </c>
      <c r="AZ49" s="612" t="str">
        <f t="shared" si="15"/>
        <v>入力済</v>
      </c>
      <c r="BA49" s="611" t="str">
        <f>IFERROR(VLOOKUP(K49,【参考】数式用!$AX$3:$AY$59, 2, FALSE), "")</f>
        <v/>
      </c>
      <c r="BB49" s="609" t="str">
        <f t="shared" si="31"/>
        <v/>
      </c>
      <c r="BC49" s="612" t="str">
        <f t="shared" si="32"/>
        <v>入力済</v>
      </c>
      <c r="BD49" s="613" t="str">
        <f t="shared" si="17"/>
        <v/>
      </c>
      <c r="BE49" s="613" t="str">
        <f t="shared" si="33"/>
        <v/>
      </c>
    </row>
    <row r="50" spans="1:57" ht="109.9" customHeight="1" thickBot="1">
      <c r="A50" s="599">
        <v>39</v>
      </c>
      <c r="B50" s="913" t="str">
        <f>IF(基本情報入力シート!B78="","",基本情報入力シート!B78)</f>
        <v/>
      </c>
      <c r="C50" s="914"/>
      <c r="D50" s="914"/>
      <c r="E50" s="914"/>
      <c r="F50" s="915"/>
      <c r="G50" s="600" t="str">
        <f>IF(基本情報入力シート!L78="", "", 基本情報入力シート!L78)</f>
        <v/>
      </c>
      <c r="H50" s="600" t="str">
        <f>IF(基本情報入力シート!Q78="", "", 基本情報入力シート!Q78)</f>
        <v/>
      </c>
      <c r="I50" s="600" t="str">
        <f>IF(基本情報入力シート!V78="", "", 基本情報入力シート!V78)</f>
        <v/>
      </c>
      <c r="J50" s="600" t="str">
        <f>IF(基本情報入力シート!W78="", "", 基本情報入力シート!W78)</f>
        <v/>
      </c>
      <c r="K50" s="600"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01" t="s">
        <v>170</v>
      </c>
      <c r="Q50" s="225"/>
      <c r="R50" s="602" t="s">
        <v>253</v>
      </c>
      <c r="S50" s="225"/>
      <c r="T50" s="602" t="s">
        <v>254</v>
      </c>
      <c r="U50" s="225"/>
      <c r="V50" s="602" t="s">
        <v>253</v>
      </c>
      <c r="W50" s="225"/>
      <c r="X50" s="602" t="s">
        <v>255</v>
      </c>
      <c r="Y50" s="602" t="s">
        <v>256</v>
      </c>
      <c r="Z50" s="602" t="str">
        <f t="shared" si="16"/>
        <v/>
      </c>
      <c r="AA50" s="603" t="s">
        <v>257</v>
      </c>
      <c r="AB50" s="604" t="str">
        <f t="shared" si="28"/>
        <v/>
      </c>
      <c r="AC50" s="605" t="str">
        <f>IFERROR(ROUNDDOWN(ROUNDDOWN(ROUND(L50*VLOOKUP(K50,【参考】数式用!$A$4:$F$57,MATCH("処遇改善加算Ⅳ",【参考】数式用!$C$3:$F$3,0)+2,0),0)*M50,0)*Z50*0.5,0), "")</f>
        <v/>
      </c>
      <c r="AD50" s="245"/>
      <c r="AE50" s="246"/>
      <c r="AF50" s="246"/>
      <c r="AG50" s="247"/>
      <c r="AH50" s="248"/>
      <c r="AI50" s="249"/>
      <c r="AJ50" s="250"/>
      <c r="AK50" s="606" t="str">
        <f t="shared" si="4"/>
        <v/>
      </c>
      <c r="AL50" s="607" t="str">
        <f t="shared" si="30"/>
        <v/>
      </c>
      <c r="AM50" s="608"/>
      <c r="AN50" s="609" t="str">
        <f>IFERROR(VLOOKUP(K50,【参考】数式用!$A$2:$N$57,14,FALSE),"")</f>
        <v/>
      </c>
      <c r="AO50" s="609" t="str">
        <f t="shared" si="5"/>
        <v/>
      </c>
      <c r="AP50" s="610" t="str">
        <f t="shared" si="6"/>
        <v/>
      </c>
      <c r="AQ50" s="611" t="str">
        <f t="shared" si="7"/>
        <v>入力済</v>
      </c>
      <c r="AR50" s="609" t="str">
        <f t="shared" si="8"/>
        <v/>
      </c>
      <c r="AS50" s="611" t="str">
        <f t="shared" si="9"/>
        <v>入力済</v>
      </c>
      <c r="AT50" s="611" t="str">
        <f t="shared" si="10"/>
        <v/>
      </c>
      <c r="AU50" s="611" t="str">
        <f t="shared" si="29"/>
        <v/>
      </c>
      <c r="AV50" s="609" t="str">
        <f t="shared" si="12"/>
        <v/>
      </c>
      <c r="AW50" s="609" t="str">
        <f t="shared" si="13"/>
        <v>入力済</v>
      </c>
      <c r="AX50" s="611" t="str">
        <f>IFERROR(VLOOKUP(K50,【参考】数式用!$AR$3:$AS$49,2, FALSE), "")</f>
        <v/>
      </c>
      <c r="AY50" s="609" t="str">
        <f t="shared" si="14"/>
        <v/>
      </c>
      <c r="AZ50" s="612" t="str">
        <f t="shared" si="15"/>
        <v>入力済</v>
      </c>
      <c r="BA50" s="611" t="str">
        <f>IFERROR(VLOOKUP(K50,【参考】数式用!$AX$3:$AY$59, 2, FALSE), "")</f>
        <v/>
      </c>
      <c r="BB50" s="609" t="str">
        <f t="shared" si="31"/>
        <v/>
      </c>
      <c r="BC50" s="612" t="str">
        <f t="shared" si="32"/>
        <v>入力済</v>
      </c>
      <c r="BD50" s="613" t="str">
        <f t="shared" si="17"/>
        <v/>
      </c>
      <c r="BE50" s="613" t="str">
        <f t="shared" si="33"/>
        <v/>
      </c>
    </row>
    <row r="51" spans="1:57" ht="109.9" customHeight="1" thickBot="1">
      <c r="A51" s="599">
        <v>40</v>
      </c>
      <c r="B51" s="913" t="str">
        <f>IF(基本情報入力シート!B79="","",基本情報入力シート!B79)</f>
        <v/>
      </c>
      <c r="C51" s="914"/>
      <c r="D51" s="914"/>
      <c r="E51" s="914"/>
      <c r="F51" s="915"/>
      <c r="G51" s="600" t="str">
        <f>IF(基本情報入力シート!L79="", "", 基本情報入力シート!L79)</f>
        <v/>
      </c>
      <c r="H51" s="600" t="str">
        <f>IF(基本情報入力シート!Q79="", "", 基本情報入力シート!Q79)</f>
        <v/>
      </c>
      <c r="I51" s="600" t="str">
        <f>IF(基本情報入力シート!V79="", "", 基本情報入力シート!V79)</f>
        <v/>
      </c>
      <c r="J51" s="600" t="str">
        <f>IF(基本情報入力シート!W79="", "", 基本情報入力シート!W79)</f>
        <v/>
      </c>
      <c r="K51" s="600"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01" t="s">
        <v>170</v>
      </c>
      <c r="Q51" s="225"/>
      <c r="R51" s="602" t="s">
        <v>253</v>
      </c>
      <c r="S51" s="225"/>
      <c r="T51" s="602" t="s">
        <v>254</v>
      </c>
      <c r="U51" s="225"/>
      <c r="V51" s="602" t="s">
        <v>253</v>
      </c>
      <c r="W51" s="225"/>
      <c r="X51" s="602" t="s">
        <v>255</v>
      </c>
      <c r="Y51" s="602" t="s">
        <v>256</v>
      </c>
      <c r="Z51" s="602" t="str">
        <f t="shared" si="16"/>
        <v/>
      </c>
      <c r="AA51" s="603" t="s">
        <v>257</v>
      </c>
      <c r="AB51" s="604" t="str">
        <f t="shared" si="28"/>
        <v/>
      </c>
      <c r="AC51" s="605" t="str">
        <f>IFERROR(ROUNDDOWN(ROUNDDOWN(ROUND(L51*VLOOKUP(K51,【参考】数式用!$A$4:$F$57,MATCH("処遇改善加算Ⅳ",【参考】数式用!$C$3:$F$3,0)+2,0),0)*M51,0)*Z51*0.5,0), "")</f>
        <v/>
      </c>
      <c r="AD51" s="245"/>
      <c r="AE51" s="246"/>
      <c r="AF51" s="246"/>
      <c r="AG51" s="247"/>
      <c r="AH51" s="248"/>
      <c r="AI51" s="249"/>
      <c r="AJ51" s="250"/>
      <c r="AK51" s="606" t="str">
        <f t="shared" si="4"/>
        <v/>
      </c>
      <c r="AL51" s="607" t="str">
        <f t="shared" si="30"/>
        <v/>
      </c>
      <c r="AM51" s="608"/>
      <c r="AN51" s="609" t="str">
        <f>IFERROR(VLOOKUP(K51,【参考】数式用!$A$2:$N$57,14,FALSE),"")</f>
        <v/>
      </c>
      <c r="AO51" s="609" t="str">
        <f t="shared" si="5"/>
        <v/>
      </c>
      <c r="AP51" s="610" t="str">
        <f t="shared" si="6"/>
        <v/>
      </c>
      <c r="AQ51" s="611" t="str">
        <f t="shared" si="7"/>
        <v>入力済</v>
      </c>
      <c r="AR51" s="609" t="str">
        <f t="shared" si="8"/>
        <v/>
      </c>
      <c r="AS51" s="611" t="str">
        <f t="shared" si="9"/>
        <v>入力済</v>
      </c>
      <c r="AT51" s="611" t="str">
        <f t="shared" si="10"/>
        <v/>
      </c>
      <c r="AU51" s="611" t="str">
        <f t="shared" si="29"/>
        <v/>
      </c>
      <c r="AV51" s="609" t="str">
        <f t="shared" si="12"/>
        <v/>
      </c>
      <c r="AW51" s="609" t="str">
        <f t="shared" si="13"/>
        <v>入力済</v>
      </c>
      <c r="AX51" s="611" t="str">
        <f>IFERROR(VLOOKUP(K51,【参考】数式用!$AR$3:$AS$49,2, FALSE), "")</f>
        <v/>
      </c>
      <c r="AY51" s="609" t="str">
        <f t="shared" si="14"/>
        <v/>
      </c>
      <c r="AZ51" s="612" t="str">
        <f t="shared" si="15"/>
        <v>入力済</v>
      </c>
      <c r="BA51" s="611" t="str">
        <f>IFERROR(VLOOKUP(K51,【参考】数式用!$AX$3:$AY$59, 2, FALSE), "")</f>
        <v/>
      </c>
      <c r="BB51" s="609" t="str">
        <f t="shared" si="31"/>
        <v/>
      </c>
      <c r="BC51" s="612" t="str">
        <f t="shared" si="32"/>
        <v>入力済</v>
      </c>
      <c r="BD51" s="613" t="str">
        <f t="shared" si="17"/>
        <v/>
      </c>
      <c r="BE51" s="613" t="str">
        <f t="shared" si="33"/>
        <v/>
      </c>
    </row>
    <row r="52" spans="1:57" ht="109.9" customHeight="1" thickBot="1">
      <c r="A52" s="599">
        <v>41</v>
      </c>
      <c r="B52" s="913" t="str">
        <f>IF(基本情報入力シート!B80="","",基本情報入力シート!B80)</f>
        <v/>
      </c>
      <c r="C52" s="914"/>
      <c r="D52" s="914"/>
      <c r="E52" s="914"/>
      <c r="F52" s="915"/>
      <c r="G52" s="600" t="str">
        <f>IF(基本情報入力シート!L80="", "", 基本情報入力シート!L80)</f>
        <v/>
      </c>
      <c r="H52" s="600" t="str">
        <f>IF(基本情報入力シート!Q80="", "", 基本情報入力シート!Q80)</f>
        <v/>
      </c>
      <c r="I52" s="600" t="str">
        <f>IF(基本情報入力シート!V80="", "", 基本情報入力シート!V80)</f>
        <v/>
      </c>
      <c r="J52" s="600" t="str">
        <f>IF(基本情報入力シート!W80="", "", 基本情報入力シート!W80)</f>
        <v/>
      </c>
      <c r="K52" s="600"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01" t="s">
        <v>170</v>
      </c>
      <c r="Q52" s="225"/>
      <c r="R52" s="602" t="s">
        <v>253</v>
      </c>
      <c r="S52" s="225"/>
      <c r="T52" s="602" t="s">
        <v>254</v>
      </c>
      <c r="U52" s="225"/>
      <c r="V52" s="602" t="s">
        <v>253</v>
      </c>
      <c r="W52" s="225"/>
      <c r="X52" s="602" t="s">
        <v>172</v>
      </c>
      <c r="Y52" s="602" t="s">
        <v>256</v>
      </c>
      <c r="Z52" s="602" t="str">
        <f t="shared" si="16"/>
        <v/>
      </c>
      <c r="AA52" s="603" t="s">
        <v>257</v>
      </c>
      <c r="AB52" s="604" t="str">
        <f t="shared" si="28"/>
        <v/>
      </c>
      <c r="AC52" s="605" t="str">
        <f>IFERROR(ROUNDDOWN(ROUNDDOWN(ROUND(L52*VLOOKUP(K52,【参考】数式用!$A$4:$F$57,MATCH("処遇改善加算Ⅳ",【参考】数式用!$C$3:$F$3,0)+2,0),0)*M52,0)*Z52*0.5,0), "")</f>
        <v/>
      </c>
      <c r="AD52" s="245"/>
      <c r="AE52" s="246"/>
      <c r="AF52" s="246"/>
      <c r="AG52" s="247"/>
      <c r="AH52" s="248"/>
      <c r="AI52" s="249"/>
      <c r="AJ52" s="250"/>
      <c r="AK52" s="606" t="str">
        <f t="shared" si="4"/>
        <v/>
      </c>
      <c r="AL52" s="607" t="str">
        <f t="shared" si="30"/>
        <v/>
      </c>
      <c r="AM52" s="608"/>
      <c r="AN52" s="609" t="str">
        <f>IFERROR(VLOOKUP(K52,【参考】数式用!$A$2:$N$57,14,FALSE),"")</f>
        <v/>
      </c>
      <c r="AO52" s="609" t="str">
        <f t="shared" si="5"/>
        <v/>
      </c>
      <c r="AP52" s="610" t="str">
        <f t="shared" si="6"/>
        <v/>
      </c>
      <c r="AQ52" s="611" t="str">
        <f t="shared" si="7"/>
        <v>入力済</v>
      </c>
      <c r="AR52" s="609" t="str">
        <f t="shared" si="8"/>
        <v/>
      </c>
      <c r="AS52" s="611" t="str">
        <f t="shared" si="9"/>
        <v>入力済</v>
      </c>
      <c r="AT52" s="611" t="str">
        <f t="shared" si="10"/>
        <v/>
      </c>
      <c r="AU52" s="611" t="str">
        <f t="shared" si="29"/>
        <v/>
      </c>
      <c r="AV52" s="609" t="str">
        <f t="shared" si="12"/>
        <v/>
      </c>
      <c r="AW52" s="609" t="str">
        <f t="shared" si="13"/>
        <v>入力済</v>
      </c>
      <c r="AX52" s="611" t="str">
        <f>IFERROR(VLOOKUP(K52,【参考】数式用!$AR$3:$AS$49,2, FALSE), "")</f>
        <v/>
      </c>
      <c r="AY52" s="609" t="str">
        <f t="shared" si="14"/>
        <v/>
      </c>
      <c r="AZ52" s="612" t="str">
        <f t="shared" si="15"/>
        <v>入力済</v>
      </c>
      <c r="BA52" s="611" t="str">
        <f>IFERROR(VLOOKUP(K52,【参考】数式用!$AX$3:$AY$59, 2, FALSE), "")</f>
        <v/>
      </c>
      <c r="BB52" s="609" t="str">
        <f t="shared" si="31"/>
        <v/>
      </c>
      <c r="BC52" s="612" t="str">
        <f t="shared" si="32"/>
        <v>入力済</v>
      </c>
      <c r="BD52" s="613" t="str">
        <f t="shared" si="17"/>
        <v/>
      </c>
      <c r="BE52" s="613" t="str">
        <f t="shared" si="33"/>
        <v/>
      </c>
    </row>
    <row r="53" spans="1:57" ht="109.9" customHeight="1" thickBot="1">
      <c r="A53" s="599">
        <v>42</v>
      </c>
      <c r="B53" s="913" t="str">
        <f>IF(基本情報入力シート!B81="","",基本情報入力シート!B81)</f>
        <v/>
      </c>
      <c r="C53" s="914"/>
      <c r="D53" s="914"/>
      <c r="E53" s="914"/>
      <c r="F53" s="915"/>
      <c r="G53" s="600" t="str">
        <f>IF(基本情報入力シート!L81="", "", 基本情報入力シート!L81)</f>
        <v/>
      </c>
      <c r="H53" s="600" t="str">
        <f>IF(基本情報入力シート!Q81="", "", 基本情報入力シート!Q81)</f>
        <v/>
      </c>
      <c r="I53" s="600" t="str">
        <f>IF(基本情報入力シート!V81="", "", 基本情報入力シート!V81)</f>
        <v/>
      </c>
      <c r="J53" s="600" t="str">
        <f>IF(基本情報入力シート!W81="", "", 基本情報入力シート!W81)</f>
        <v/>
      </c>
      <c r="K53" s="600"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01" t="s">
        <v>170</v>
      </c>
      <c r="Q53" s="225"/>
      <c r="R53" s="602" t="s">
        <v>253</v>
      </c>
      <c r="S53" s="225"/>
      <c r="T53" s="602" t="s">
        <v>254</v>
      </c>
      <c r="U53" s="225"/>
      <c r="V53" s="602" t="s">
        <v>253</v>
      </c>
      <c r="W53" s="225"/>
      <c r="X53" s="602" t="s">
        <v>172</v>
      </c>
      <c r="Y53" s="602" t="s">
        <v>256</v>
      </c>
      <c r="Z53" s="602" t="str">
        <f t="shared" si="16"/>
        <v/>
      </c>
      <c r="AA53" s="603" t="s">
        <v>257</v>
      </c>
      <c r="AB53" s="604" t="str">
        <f t="shared" si="28"/>
        <v/>
      </c>
      <c r="AC53" s="605" t="str">
        <f>IFERROR(ROUNDDOWN(ROUNDDOWN(ROUND(L53*VLOOKUP(K53,【参考】数式用!$A$4:$F$57,MATCH("処遇改善加算Ⅳ",【参考】数式用!$C$3:$F$3,0)+2,0),0)*M53,0)*Z53*0.5,0), "")</f>
        <v/>
      </c>
      <c r="AD53" s="245"/>
      <c r="AE53" s="246"/>
      <c r="AF53" s="246"/>
      <c r="AG53" s="247"/>
      <c r="AH53" s="248"/>
      <c r="AI53" s="249"/>
      <c r="AJ53" s="250"/>
      <c r="AK53" s="606" t="str">
        <f t="shared" si="4"/>
        <v/>
      </c>
      <c r="AL53" s="607" t="str">
        <f t="shared" si="30"/>
        <v/>
      </c>
      <c r="AM53" s="608"/>
      <c r="AN53" s="609" t="str">
        <f>IFERROR(VLOOKUP(K53,【参考】数式用!$A$2:$N$57,14,FALSE),"")</f>
        <v/>
      </c>
      <c r="AO53" s="609" t="str">
        <f t="shared" si="5"/>
        <v/>
      </c>
      <c r="AP53" s="610" t="str">
        <f t="shared" si="6"/>
        <v/>
      </c>
      <c r="AQ53" s="611" t="str">
        <f t="shared" si="7"/>
        <v>入力済</v>
      </c>
      <c r="AR53" s="609" t="str">
        <f t="shared" si="8"/>
        <v/>
      </c>
      <c r="AS53" s="611" t="str">
        <f t="shared" si="9"/>
        <v>入力済</v>
      </c>
      <c r="AT53" s="611" t="str">
        <f t="shared" si="10"/>
        <v/>
      </c>
      <c r="AU53" s="611" t="str">
        <f t="shared" si="29"/>
        <v/>
      </c>
      <c r="AV53" s="609" t="str">
        <f t="shared" si="12"/>
        <v/>
      </c>
      <c r="AW53" s="609" t="str">
        <f t="shared" si="13"/>
        <v>入力済</v>
      </c>
      <c r="AX53" s="611" t="str">
        <f>IFERROR(VLOOKUP(K53,【参考】数式用!$AR$3:$AS$49,2, FALSE), "")</f>
        <v/>
      </c>
      <c r="AY53" s="609" t="str">
        <f t="shared" si="14"/>
        <v/>
      </c>
      <c r="AZ53" s="612" t="str">
        <f t="shared" si="15"/>
        <v>入力済</v>
      </c>
      <c r="BA53" s="611" t="str">
        <f>IFERROR(VLOOKUP(K53,【参考】数式用!$AX$3:$AY$59, 2, FALSE), "")</f>
        <v/>
      </c>
      <c r="BB53" s="609" t="str">
        <f t="shared" si="31"/>
        <v/>
      </c>
      <c r="BC53" s="612" t="str">
        <f t="shared" si="32"/>
        <v>入力済</v>
      </c>
      <c r="BD53" s="613" t="str">
        <f t="shared" si="17"/>
        <v/>
      </c>
      <c r="BE53" s="613" t="str">
        <f t="shared" si="33"/>
        <v/>
      </c>
    </row>
    <row r="54" spans="1:57" ht="109.9" customHeight="1" thickBot="1">
      <c r="A54" s="599">
        <v>43</v>
      </c>
      <c r="B54" s="913" t="str">
        <f>IF(基本情報入力シート!B82="","",基本情報入力シート!B82)</f>
        <v/>
      </c>
      <c r="C54" s="914"/>
      <c r="D54" s="914"/>
      <c r="E54" s="914"/>
      <c r="F54" s="915"/>
      <c r="G54" s="600" t="str">
        <f>IF(基本情報入力シート!L82="", "", 基本情報入力シート!L82)</f>
        <v/>
      </c>
      <c r="H54" s="600" t="str">
        <f>IF(基本情報入力シート!Q82="", "", 基本情報入力シート!Q82)</f>
        <v/>
      </c>
      <c r="I54" s="600" t="str">
        <f>IF(基本情報入力シート!V82="", "", 基本情報入力シート!V82)</f>
        <v/>
      </c>
      <c r="J54" s="600" t="str">
        <f>IF(基本情報入力シート!W82="", "", 基本情報入力シート!W82)</f>
        <v/>
      </c>
      <c r="K54" s="600"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01" t="s">
        <v>170</v>
      </c>
      <c r="Q54" s="225"/>
      <c r="R54" s="602" t="s">
        <v>253</v>
      </c>
      <c r="S54" s="225"/>
      <c r="T54" s="602" t="s">
        <v>254</v>
      </c>
      <c r="U54" s="225"/>
      <c r="V54" s="602" t="s">
        <v>253</v>
      </c>
      <c r="W54" s="225"/>
      <c r="X54" s="602" t="s">
        <v>255</v>
      </c>
      <c r="Y54" s="602" t="s">
        <v>256</v>
      </c>
      <c r="Z54" s="602" t="str">
        <f t="shared" si="16"/>
        <v/>
      </c>
      <c r="AA54" s="603" t="s">
        <v>257</v>
      </c>
      <c r="AB54" s="604" t="str">
        <f t="shared" si="28"/>
        <v/>
      </c>
      <c r="AC54" s="605" t="str">
        <f>IFERROR(ROUNDDOWN(ROUNDDOWN(ROUND(L54*VLOOKUP(K54,【参考】数式用!$A$4:$F$57,MATCH("処遇改善加算Ⅳ",【参考】数式用!$C$3:$F$3,0)+2,0),0)*M54,0)*Z54*0.5,0), "")</f>
        <v/>
      </c>
      <c r="AD54" s="245"/>
      <c r="AE54" s="246"/>
      <c r="AF54" s="246"/>
      <c r="AG54" s="247"/>
      <c r="AH54" s="248"/>
      <c r="AI54" s="249"/>
      <c r="AJ54" s="250"/>
      <c r="AK54" s="606" t="str">
        <f t="shared" si="4"/>
        <v/>
      </c>
      <c r="AL54" s="607" t="str">
        <f t="shared" si="30"/>
        <v/>
      </c>
      <c r="AM54" s="608"/>
      <c r="AN54" s="609" t="str">
        <f>IFERROR(VLOOKUP(K54,【参考】数式用!$A$2:$N$57,14,FALSE),"")</f>
        <v/>
      </c>
      <c r="AO54" s="609" t="str">
        <f t="shared" si="5"/>
        <v/>
      </c>
      <c r="AP54" s="610" t="str">
        <f t="shared" si="6"/>
        <v/>
      </c>
      <c r="AQ54" s="611" t="str">
        <f t="shared" si="7"/>
        <v>入力済</v>
      </c>
      <c r="AR54" s="609" t="str">
        <f t="shared" si="8"/>
        <v/>
      </c>
      <c r="AS54" s="611" t="str">
        <f t="shared" si="9"/>
        <v>入力済</v>
      </c>
      <c r="AT54" s="611" t="str">
        <f t="shared" si="10"/>
        <v/>
      </c>
      <c r="AU54" s="611" t="str">
        <f t="shared" si="29"/>
        <v/>
      </c>
      <c r="AV54" s="609" t="str">
        <f t="shared" si="12"/>
        <v/>
      </c>
      <c r="AW54" s="609" t="str">
        <f t="shared" si="13"/>
        <v>入力済</v>
      </c>
      <c r="AX54" s="611" t="str">
        <f>IFERROR(VLOOKUP(K54,【参考】数式用!$AR$3:$AS$49,2, FALSE), "")</f>
        <v/>
      </c>
      <c r="AY54" s="609" t="str">
        <f t="shared" si="14"/>
        <v/>
      </c>
      <c r="AZ54" s="612" t="str">
        <f t="shared" si="15"/>
        <v>入力済</v>
      </c>
      <c r="BA54" s="611" t="str">
        <f>IFERROR(VLOOKUP(K54,【参考】数式用!$AX$3:$AY$59, 2, FALSE), "")</f>
        <v/>
      </c>
      <c r="BB54" s="609" t="str">
        <f t="shared" si="31"/>
        <v/>
      </c>
      <c r="BC54" s="612" t="str">
        <f t="shared" si="32"/>
        <v>入力済</v>
      </c>
      <c r="BD54" s="613" t="str">
        <f t="shared" si="17"/>
        <v/>
      </c>
      <c r="BE54" s="613" t="str">
        <f t="shared" si="33"/>
        <v/>
      </c>
    </row>
    <row r="55" spans="1:57" ht="109.9" customHeight="1" thickBot="1">
      <c r="A55" s="599">
        <v>44</v>
      </c>
      <c r="B55" s="913" t="str">
        <f>IF(基本情報入力シート!B83="","",基本情報入力シート!B83)</f>
        <v/>
      </c>
      <c r="C55" s="914"/>
      <c r="D55" s="914"/>
      <c r="E55" s="914"/>
      <c r="F55" s="915"/>
      <c r="G55" s="600" t="str">
        <f>IF(基本情報入力シート!L83="", "", 基本情報入力シート!L83)</f>
        <v/>
      </c>
      <c r="H55" s="600" t="str">
        <f>IF(基本情報入力シート!Q83="", "", 基本情報入力シート!Q83)</f>
        <v/>
      </c>
      <c r="I55" s="600" t="str">
        <f>IF(基本情報入力シート!V83="", "", 基本情報入力シート!V83)</f>
        <v/>
      </c>
      <c r="J55" s="600" t="str">
        <f>IF(基本情報入力シート!W83="", "", 基本情報入力シート!W83)</f>
        <v/>
      </c>
      <c r="K55" s="600"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01" t="s">
        <v>170</v>
      </c>
      <c r="Q55" s="225"/>
      <c r="R55" s="602" t="s">
        <v>253</v>
      </c>
      <c r="S55" s="225"/>
      <c r="T55" s="602" t="s">
        <v>254</v>
      </c>
      <c r="U55" s="225"/>
      <c r="V55" s="602" t="s">
        <v>253</v>
      </c>
      <c r="W55" s="225"/>
      <c r="X55" s="602" t="s">
        <v>255</v>
      </c>
      <c r="Y55" s="602" t="s">
        <v>256</v>
      </c>
      <c r="Z55" s="602" t="str">
        <f t="shared" si="16"/>
        <v/>
      </c>
      <c r="AA55" s="603" t="s">
        <v>257</v>
      </c>
      <c r="AB55" s="604" t="str">
        <f t="shared" si="28"/>
        <v/>
      </c>
      <c r="AC55" s="605" t="str">
        <f>IFERROR(ROUNDDOWN(ROUNDDOWN(ROUND(L55*VLOOKUP(K55,【参考】数式用!$A$4:$F$57,MATCH("処遇改善加算Ⅳ",【参考】数式用!$C$3:$F$3,0)+2,0),0)*M55,0)*Z55*0.5,0), "")</f>
        <v/>
      </c>
      <c r="AD55" s="245"/>
      <c r="AE55" s="246"/>
      <c r="AF55" s="246"/>
      <c r="AG55" s="247"/>
      <c r="AH55" s="248"/>
      <c r="AI55" s="249"/>
      <c r="AJ55" s="250"/>
      <c r="AK55" s="606" t="str">
        <f t="shared" si="4"/>
        <v/>
      </c>
      <c r="AL55" s="607" t="str">
        <f t="shared" si="30"/>
        <v/>
      </c>
      <c r="AM55" s="608"/>
      <c r="AN55" s="609" t="str">
        <f>IFERROR(VLOOKUP(K55,【参考】数式用!$A$2:$N$57,14,FALSE),"")</f>
        <v/>
      </c>
      <c r="AO55" s="609" t="str">
        <f t="shared" si="5"/>
        <v/>
      </c>
      <c r="AP55" s="610" t="str">
        <f t="shared" si="6"/>
        <v/>
      </c>
      <c r="AQ55" s="611" t="str">
        <f t="shared" si="7"/>
        <v>入力済</v>
      </c>
      <c r="AR55" s="609" t="str">
        <f t="shared" si="8"/>
        <v/>
      </c>
      <c r="AS55" s="611" t="str">
        <f t="shared" si="9"/>
        <v>入力済</v>
      </c>
      <c r="AT55" s="611" t="str">
        <f t="shared" si="10"/>
        <v/>
      </c>
      <c r="AU55" s="611" t="str">
        <f t="shared" si="29"/>
        <v/>
      </c>
      <c r="AV55" s="609" t="str">
        <f t="shared" si="12"/>
        <v/>
      </c>
      <c r="AW55" s="609" t="str">
        <f t="shared" si="13"/>
        <v>入力済</v>
      </c>
      <c r="AX55" s="611" t="str">
        <f>IFERROR(VLOOKUP(K55,【参考】数式用!$AR$3:$AS$49,2, FALSE), "")</f>
        <v/>
      </c>
      <c r="AY55" s="609" t="str">
        <f t="shared" si="14"/>
        <v/>
      </c>
      <c r="AZ55" s="612" t="str">
        <f t="shared" si="15"/>
        <v>入力済</v>
      </c>
      <c r="BA55" s="611" t="str">
        <f>IFERROR(VLOOKUP(K55,【参考】数式用!$AX$3:$AY$59, 2, FALSE), "")</f>
        <v/>
      </c>
      <c r="BB55" s="609" t="str">
        <f t="shared" si="31"/>
        <v/>
      </c>
      <c r="BC55" s="612" t="str">
        <f t="shared" si="32"/>
        <v>入力済</v>
      </c>
      <c r="BD55" s="613" t="str">
        <f t="shared" si="17"/>
        <v/>
      </c>
      <c r="BE55" s="613" t="str">
        <f t="shared" si="33"/>
        <v/>
      </c>
    </row>
    <row r="56" spans="1:57" ht="109.9" customHeight="1" thickBot="1">
      <c r="A56" s="599">
        <v>45</v>
      </c>
      <c r="B56" s="913" t="str">
        <f>IF(基本情報入力シート!B84="","",基本情報入力シート!B84)</f>
        <v/>
      </c>
      <c r="C56" s="914"/>
      <c r="D56" s="914"/>
      <c r="E56" s="914"/>
      <c r="F56" s="915"/>
      <c r="G56" s="600" t="str">
        <f>IF(基本情報入力シート!L84="", "", 基本情報入力シート!L84)</f>
        <v/>
      </c>
      <c r="H56" s="600" t="str">
        <f>IF(基本情報入力シート!Q84="", "", 基本情報入力シート!Q84)</f>
        <v/>
      </c>
      <c r="I56" s="600" t="str">
        <f>IF(基本情報入力シート!V84="", "", 基本情報入力シート!V84)</f>
        <v/>
      </c>
      <c r="J56" s="600" t="str">
        <f>IF(基本情報入力シート!W84="", "", 基本情報入力シート!W84)</f>
        <v/>
      </c>
      <c r="K56" s="600"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01" t="s">
        <v>170</v>
      </c>
      <c r="Q56" s="225"/>
      <c r="R56" s="602" t="s">
        <v>253</v>
      </c>
      <c r="S56" s="225"/>
      <c r="T56" s="602" t="s">
        <v>254</v>
      </c>
      <c r="U56" s="225"/>
      <c r="V56" s="602" t="s">
        <v>253</v>
      </c>
      <c r="W56" s="225"/>
      <c r="X56" s="602" t="s">
        <v>255</v>
      </c>
      <c r="Y56" s="602" t="s">
        <v>256</v>
      </c>
      <c r="Z56" s="602" t="str">
        <f t="shared" si="16"/>
        <v/>
      </c>
      <c r="AA56" s="603" t="s">
        <v>257</v>
      </c>
      <c r="AB56" s="604" t="str">
        <f t="shared" si="28"/>
        <v/>
      </c>
      <c r="AC56" s="605" t="str">
        <f>IFERROR(ROUNDDOWN(ROUNDDOWN(ROUND(L56*VLOOKUP(K56,【参考】数式用!$A$4:$F$57,MATCH("処遇改善加算Ⅳ",【参考】数式用!$C$3:$F$3,0)+2,0),0)*M56,0)*Z56*0.5,0), "")</f>
        <v/>
      </c>
      <c r="AD56" s="245"/>
      <c r="AE56" s="246"/>
      <c r="AF56" s="246"/>
      <c r="AG56" s="247"/>
      <c r="AH56" s="248"/>
      <c r="AI56" s="249"/>
      <c r="AJ56" s="250"/>
      <c r="AK56" s="606" t="str">
        <f t="shared" si="4"/>
        <v/>
      </c>
      <c r="AL56" s="607" t="str">
        <f t="shared" si="30"/>
        <v/>
      </c>
      <c r="AM56" s="608"/>
      <c r="AN56" s="609" t="str">
        <f>IFERROR(VLOOKUP(K56,【参考】数式用!$A$2:$N$57,14,FALSE),"")</f>
        <v/>
      </c>
      <c r="AO56" s="609" t="str">
        <f t="shared" si="5"/>
        <v/>
      </c>
      <c r="AP56" s="610" t="str">
        <f t="shared" si="6"/>
        <v/>
      </c>
      <c r="AQ56" s="611" t="str">
        <f t="shared" si="7"/>
        <v>入力済</v>
      </c>
      <c r="AR56" s="609" t="str">
        <f t="shared" si="8"/>
        <v/>
      </c>
      <c r="AS56" s="611" t="str">
        <f t="shared" si="9"/>
        <v>入力済</v>
      </c>
      <c r="AT56" s="611" t="str">
        <f t="shared" si="10"/>
        <v/>
      </c>
      <c r="AU56" s="611" t="str">
        <f t="shared" si="29"/>
        <v/>
      </c>
      <c r="AV56" s="609" t="str">
        <f t="shared" si="12"/>
        <v/>
      </c>
      <c r="AW56" s="609" t="str">
        <f t="shared" si="13"/>
        <v>入力済</v>
      </c>
      <c r="AX56" s="611" t="str">
        <f>IFERROR(VLOOKUP(K56,【参考】数式用!$AR$3:$AS$49,2, FALSE), "")</f>
        <v/>
      </c>
      <c r="AY56" s="609" t="str">
        <f t="shared" si="14"/>
        <v/>
      </c>
      <c r="AZ56" s="612" t="str">
        <f t="shared" si="15"/>
        <v>入力済</v>
      </c>
      <c r="BA56" s="611" t="str">
        <f>IFERROR(VLOOKUP(K56,【参考】数式用!$AX$3:$AY$59, 2, FALSE), "")</f>
        <v/>
      </c>
      <c r="BB56" s="609" t="str">
        <f t="shared" si="31"/>
        <v/>
      </c>
      <c r="BC56" s="612" t="str">
        <f t="shared" si="32"/>
        <v>入力済</v>
      </c>
      <c r="BD56" s="613" t="str">
        <f t="shared" si="17"/>
        <v/>
      </c>
      <c r="BE56" s="613" t="str">
        <f t="shared" si="33"/>
        <v/>
      </c>
    </row>
    <row r="57" spans="1:57" ht="109.9" customHeight="1" thickBot="1">
      <c r="A57" s="599">
        <v>46</v>
      </c>
      <c r="B57" s="913" t="str">
        <f>IF(基本情報入力シート!B85="","",基本情報入力シート!B85)</f>
        <v/>
      </c>
      <c r="C57" s="914"/>
      <c r="D57" s="914"/>
      <c r="E57" s="914"/>
      <c r="F57" s="915"/>
      <c r="G57" s="600" t="str">
        <f>IF(基本情報入力シート!L85="", "", 基本情報入力シート!L85)</f>
        <v/>
      </c>
      <c r="H57" s="600" t="str">
        <f>IF(基本情報入力シート!Q85="", "", 基本情報入力シート!Q85)</f>
        <v/>
      </c>
      <c r="I57" s="600" t="str">
        <f>IF(基本情報入力シート!V85="", "", 基本情報入力シート!V85)</f>
        <v/>
      </c>
      <c r="J57" s="600" t="str">
        <f>IF(基本情報入力シート!W85="", "", 基本情報入力シート!W85)</f>
        <v/>
      </c>
      <c r="K57" s="600"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01" t="s">
        <v>170</v>
      </c>
      <c r="Q57" s="225"/>
      <c r="R57" s="602" t="s">
        <v>253</v>
      </c>
      <c r="S57" s="225"/>
      <c r="T57" s="602" t="s">
        <v>254</v>
      </c>
      <c r="U57" s="225"/>
      <c r="V57" s="602" t="s">
        <v>253</v>
      </c>
      <c r="W57" s="225"/>
      <c r="X57" s="602" t="s">
        <v>172</v>
      </c>
      <c r="Y57" s="602" t="s">
        <v>256</v>
      </c>
      <c r="Z57" s="602" t="str">
        <f t="shared" si="16"/>
        <v/>
      </c>
      <c r="AA57" s="603" t="s">
        <v>257</v>
      </c>
      <c r="AB57" s="604" t="str">
        <f t="shared" si="28"/>
        <v/>
      </c>
      <c r="AC57" s="605" t="str">
        <f>IFERROR(ROUNDDOWN(ROUNDDOWN(ROUND(L57*VLOOKUP(K57,【参考】数式用!$A$4:$F$57,MATCH("処遇改善加算Ⅳ",【参考】数式用!$C$3:$F$3,0)+2,0),0)*M57,0)*Z57*0.5,0), "")</f>
        <v/>
      </c>
      <c r="AD57" s="245"/>
      <c r="AE57" s="246"/>
      <c r="AF57" s="246"/>
      <c r="AG57" s="247"/>
      <c r="AH57" s="248"/>
      <c r="AI57" s="249"/>
      <c r="AJ57" s="250"/>
      <c r="AK57" s="606" t="str">
        <f t="shared" si="4"/>
        <v/>
      </c>
      <c r="AL57" s="607" t="str">
        <f t="shared" si="30"/>
        <v/>
      </c>
      <c r="AM57" s="608"/>
      <c r="AN57" s="609" t="str">
        <f>IFERROR(VLOOKUP(K57,【参考】数式用!$A$2:$N$57,14,FALSE),"")</f>
        <v/>
      </c>
      <c r="AO57" s="609" t="str">
        <f t="shared" si="5"/>
        <v/>
      </c>
      <c r="AP57" s="610" t="str">
        <f t="shared" si="6"/>
        <v/>
      </c>
      <c r="AQ57" s="611" t="str">
        <f t="shared" si="7"/>
        <v>入力済</v>
      </c>
      <c r="AR57" s="609" t="str">
        <f t="shared" si="8"/>
        <v/>
      </c>
      <c r="AS57" s="611" t="str">
        <f t="shared" si="9"/>
        <v>入力済</v>
      </c>
      <c r="AT57" s="611" t="str">
        <f t="shared" si="10"/>
        <v/>
      </c>
      <c r="AU57" s="611" t="str">
        <f t="shared" si="29"/>
        <v/>
      </c>
      <c r="AV57" s="609" t="str">
        <f t="shared" si="12"/>
        <v/>
      </c>
      <c r="AW57" s="609" t="str">
        <f t="shared" si="13"/>
        <v>入力済</v>
      </c>
      <c r="AX57" s="611" t="str">
        <f>IFERROR(VLOOKUP(K57,【参考】数式用!$AR$3:$AS$49,2, FALSE), "")</f>
        <v/>
      </c>
      <c r="AY57" s="609" t="str">
        <f t="shared" si="14"/>
        <v/>
      </c>
      <c r="AZ57" s="612" t="str">
        <f t="shared" si="15"/>
        <v>入力済</v>
      </c>
      <c r="BA57" s="611" t="str">
        <f>IFERROR(VLOOKUP(K57,【参考】数式用!$AX$3:$AY$59, 2, FALSE), "")</f>
        <v/>
      </c>
      <c r="BB57" s="609" t="str">
        <f t="shared" si="31"/>
        <v/>
      </c>
      <c r="BC57" s="612" t="str">
        <f t="shared" si="32"/>
        <v>入力済</v>
      </c>
      <c r="BD57" s="613" t="str">
        <f t="shared" si="17"/>
        <v/>
      </c>
      <c r="BE57" s="613" t="str">
        <f t="shared" si="33"/>
        <v/>
      </c>
    </row>
    <row r="58" spans="1:57" ht="109.9" customHeight="1" thickBot="1">
      <c r="A58" s="599">
        <v>47</v>
      </c>
      <c r="B58" s="913" t="str">
        <f>IF(基本情報入力シート!B86="","",基本情報入力シート!B86)</f>
        <v/>
      </c>
      <c r="C58" s="914"/>
      <c r="D58" s="914"/>
      <c r="E58" s="914"/>
      <c r="F58" s="915"/>
      <c r="G58" s="600" t="str">
        <f>IF(基本情報入力シート!L86="", "", 基本情報入力シート!L86)</f>
        <v/>
      </c>
      <c r="H58" s="600" t="str">
        <f>IF(基本情報入力シート!Q86="", "", 基本情報入力シート!Q86)</f>
        <v/>
      </c>
      <c r="I58" s="600" t="str">
        <f>IF(基本情報入力シート!V86="", "", 基本情報入力シート!V86)</f>
        <v/>
      </c>
      <c r="J58" s="600" t="str">
        <f>IF(基本情報入力シート!W86="", "", 基本情報入力シート!W86)</f>
        <v/>
      </c>
      <c r="K58" s="600"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01" t="s">
        <v>170</v>
      </c>
      <c r="Q58" s="225"/>
      <c r="R58" s="602" t="s">
        <v>253</v>
      </c>
      <c r="S58" s="225"/>
      <c r="T58" s="602" t="s">
        <v>254</v>
      </c>
      <c r="U58" s="225"/>
      <c r="V58" s="602" t="s">
        <v>253</v>
      </c>
      <c r="W58" s="225"/>
      <c r="X58" s="602" t="s">
        <v>255</v>
      </c>
      <c r="Y58" s="602" t="s">
        <v>256</v>
      </c>
      <c r="Z58" s="602" t="str">
        <f t="shared" si="16"/>
        <v/>
      </c>
      <c r="AA58" s="603" t="s">
        <v>257</v>
      </c>
      <c r="AB58" s="604" t="str">
        <f t="shared" si="28"/>
        <v/>
      </c>
      <c r="AC58" s="605" t="str">
        <f>IFERROR(ROUNDDOWN(ROUNDDOWN(ROUND(L58*VLOOKUP(K58,【参考】数式用!$A$4:$F$57,MATCH("処遇改善加算Ⅳ",【参考】数式用!$C$3:$F$3,0)+2,0),0)*M58,0)*Z58*0.5,0), "")</f>
        <v/>
      </c>
      <c r="AD58" s="245"/>
      <c r="AE58" s="246"/>
      <c r="AF58" s="246"/>
      <c r="AG58" s="247"/>
      <c r="AH58" s="248"/>
      <c r="AI58" s="249"/>
      <c r="AJ58" s="250"/>
      <c r="AK58" s="606" t="str">
        <f t="shared" si="4"/>
        <v/>
      </c>
      <c r="AL58" s="607" t="str">
        <f t="shared" si="30"/>
        <v/>
      </c>
      <c r="AM58" s="608"/>
      <c r="AN58" s="609" t="str">
        <f>IFERROR(VLOOKUP(K58,【参考】数式用!$A$2:$N$57,14,FALSE),"")</f>
        <v/>
      </c>
      <c r="AO58" s="609" t="str">
        <f t="shared" si="5"/>
        <v/>
      </c>
      <c r="AP58" s="610" t="str">
        <f t="shared" si="6"/>
        <v/>
      </c>
      <c r="AQ58" s="611" t="str">
        <f t="shared" si="7"/>
        <v>入力済</v>
      </c>
      <c r="AR58" s="609" t="str">
        <f t="shared" si="8"/>
        <v/>
      </c>
      <c r="AS58" s="611" t="str">
        <f t="shared" si="9"/>
        <v>入力済</v>
      </c>
      <c r="AT58" s="611" t="str">
        <f t="shared" si="10"/>
        <v/>
      </c>
      <c r="AU58" s="611" t="str">
        <f t="shared" si="29"/>
        <v/>
      </c>
      <c r="AV58" s="609" t="str">
        <f t="shared" si="12"/>
        <v/>
      </c>
      <c r="AW58" s="609" t="str">
        <f t="shared" si="13"/>
        <v>入力済</v>
      </c>
      <c r="AX58" s="611" t="str">
        <f>IFERROR(VLOOKUP(K58,【参考】数式用!$AR$3:$AS$49,2, FALSE), "")</f>
        <v/>
      </c>
      <c r="AY58" s="609" t="str">
        <f t="shared" si="14"/>
        <v/>
      </c>
      <c r="AZ58" s="612" t="str">
        <f t="shared" si="15"/>
        <v>入力済</v>
      </c>
      <c r="BA58" s="611" t="str">
        <f>IFERROR(VLOOKUP(K58,【参考】数式用!$AX$3:$AY$59, 2, FALSE), "")</f>
        <v/>
      </c>
      <c r="BB58" s="609" t="str">
        <f t="shared" si="31"/>
        <v/>
      </c>
      <c r="BC58" s="612" t="str">
        <f t="shared" si="32"/>
        <v>入力済</v>
      </c>
      <c r="BD58" s="613" t="str">
        <f t="shared" si="17"/>
        <v/>
      </c>
      <c r="BE58" s="613" t="str">
        <f t="shared" si="33"/>
        <v/>
      </c>
    </row>
    <row r="59" spans="1:57" ht="109.9" customHeight="1" thickBot="1">
      <c r="A59" s="599">
        <v>48</v>
      </c>
      <c r="B59" s="913" t="str">
        <f>IF(基本情報入力シート!B87="","",基本情報入力シート!B87)</f>
        <v/>
      </c>
      <c r="C59" s="914"/>
      <c r="D59" s="914"/>
      <c r="E59" s="914"/>
      <c r="F59" s="915"/>
      <c r="G59" s="600" t="str">
        <f>IF(基本情報入力シート!L87="", "", 基本情報入力シート!L87)</f>
        <v/>
      </c>
      <c r="H59" s="600" t="str">
        <f>IF(基本情報入力シート!Q87="", "", 基本情報入力シート!Q87)</f>
        <v/>
      </c>
      <c r="I59" s="600" t="str">
        <f>IF(基本情報入力シート!V87="", "", 基本情報入力シート!V87)</f>
        <v/>
      </c>
      <c r="J59" s="600" t="str">
        <f>IF(基本情報入力シート!W87="", "", 基本情報入力シート!W87)</f>
        <v/>
      </c>
      <c r="K59" s="600"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01" t="s">
        <v>170</v>
      </c>
      <c r="Q59" s="225"/>
      <c r="R59" s="602" t="s">
        <v>253</v>
      </c>
      <c r="S59" s="225"/>
      <c r="T59" s="602" t="s">
        <v>254</v>
      </c>
      <c r="U59" s="225"/>
      <c r="V59" s="602" t="s">
        <v>253</v>
      </c>
      <c r="W59" s="225"/>
      <c r="X59" s="602" t="s">
        <v>255</v>
      </c>
      <c r="Y59" s="602" t="s">
        <v>256</v>
      </c>
      <c r="Z59" s="602" t="str">
        <f t="shared" si="16"/>
        <v/>
      </c>
      <c r="AA59" s="603" t="s">
        <v>257</v>
      </c>
      <c r="AB59" s="604" t="str">
        <f t="shared" si="28"/>
        <v/>
      </c>
      <c r="AC59" s="605" t="str">
        <f>IFERROR(ROUNDDOWN(ROUNDDOWN(ROUND(L59*VLOOKUP(K59,【参考】数式用!$A$4:$F$57,MATCH("処遇改善加算Ⅳ",【参考】数式用!$C$3:$F$3,0)+2,0),0)*M59,0)*Z59*0.5,0), "")</f>
        <v/>
      </c>
      <c r="AD59" s="245"/>
      <c r="AE59" s="246"/>
      <c r="AF59" s="246"/>
      <c r="AG59" s="247"/>
      <c r="AH59" s="248"/>
      <c r="AI59" s="249"/>
      <c r="AJ59" s="250"/>
      <c r="AK59" s="606" t="str">
        <f t="shared" si="4"/>
        <v/>
      </c>
      <c r="AL59" s="607" t="str">
        <f t="shared" si="30"/>
        <v/>
      </c>
      <c r="AM59" s="608"/>
      <c r="AN59" s="609" t="str">
        <f>IFERROR(VLOOKUP(K59,【参考】数式用!$A$2:$N$57,14,FALSE),"")</f>
        <v/>
      </c>
      <c r="AO59" s="609" t="str">
        <f t="shared" si="5"/>
        <v/>
      </c>
      <c r="AP59" s="610" t="str">
        <f t="shared" si="6"/>
        <v/>
      </c>
      <c r="AQ59" s="611" t="str">
        <f t="shared" si="7"/>
        <v>入力済</v>
      </c>
      <c r="AR59" s="609" t="str">
        <f t="shared" si="8"/>
        <v/>
      </c>
      <c r="AS59" s="611" t="str">
        <f t="shared" si="9"/>
        <v>入力済</v>
      </c>
      <c r="AT59" s="611" t="str">
        <f t="shared" si="10"/>
        <v/>
      </c>
      <c r="AU59" s="611" t="str">
        <f t="shared" si="29"/>
        <v/>
      </c>
      <c r="AV59" s="609" t="str">
        <f t="shared" si="12"/>
        <v/>
      </c>
      <c r="AW59" s="609" t="str">
        <f t="shared" si="13"/>
        <v>入力済</v>
      </c>
      <c r="AX59" s="611" t="str">
        <f>IFERROR(VLOOKUP(K59,【参考】数式用!$AR$3:$AS$49,2, FALSE), "")</f>
        <v/>
      </c>
      <c r="AY59" s="609" t="str">
        <f t="shared" si="14"/>
        <v/>
      </c>
      <c r="AZ59" s="612" t="str">
        <f t="shared" si="15"/>
        <v>入力済</v>
      </c>
      <c r="BA59" s="611" t="str">
        <f>IFERROR(VLOOKUP(K59,【参考】数式用!$AX$3:$AY$59, 2, FALSE), "")</f>
        <v/>
      </c>
      <c r="BB59" s="609" t="str">
        <f t="shared" si="31"/>
        <v/>
      </c>
      <c r="BC59" s="612" t="str">
        <f t="shared" si="32"/>
        <v>入力済</v>
      </c>
      <c r="BD59" s="613" t="str">
        <f t="shared" si="17"/>
        <v/>
      </c>
      <c r="BE59" s="613" t="str">
        <f t="shared" si="33"/>
        <v/>
      </c>
    </row>
    <row r="60" spans="1:57" ht="109.9" customHeight="1" thickBot="1">
      <c r="A60" s="599">
        <v>49</v>
      </c>
      <c r="B60" s="913" t="str">
        <f>IF(基本情報入力シート!B88="","",基本情報入力シート!B88)</f>
        <v/>
      </c>
      <c r="C60" s="914"/>
      <c r="D60" s="914"/>
      <c r="E60" s="914"/>
      <c r="F60" s="915"/>
      <c r="G60" s="600" t="str">
        <f>IF(基本情報入力シート!L88="", "", 基本情報入力シート!L88)</f>
        <v/>
      </c>
      <c r="H60" s="600" t="str">
        <f>IF(基本情報入力シート!Q88="", "", 基本情報入力シート!Q88)</f>
        <v/>
      </c>
      <c r="I60" s="600" t="str">
        <f>IF(基本情報入力シート!V88="", "", 基本情報入力シート!V88)</f>
        <v/>
      </c>
      <c r="J60" s="600" t="str">
        <f>IF(基本情報入力シート!W88="", "", 基本情報入力シート!W88)</f>
        <v/>
      </c>
      <c r="K60" s="600"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01" t="s">
        <v>170</v>
      </c>
      <c r="Q60" s="225"/>
      <c r="R60" s="602" t="s">
        <v>253</v>
      </c>
      <c r="S60" s="225"/>
      <c r="T60" s="602" t="s">
        <v>254</v>
      </c>
      <c r="U60" s="225"/>
      <c r="V60" s="602" t="s">
        <v>253</v>
      </c>
      <c r="W60" s="225"/>
      <c r="X60" s="602" t="s">
        <v>255</v>
      </c>
      <c r="Y60" s="602" t="s">
        <v>256</v>
      </c>
      <c r="Z60" s="602" t="str">
        <f t="shared" si="16"/>
        <v/>
      </c>
      <c r="AA60" s="603" t="s">
        <v>257</v>
      </c>
      <c r="AB60" s="604" t="str">
        <f t="shared" si="28"/>
        <v/>
      </c>
      <c r="AC60" s="605" t="str">
        <f>IFERROR(ROUNDDOWN(ROUNDDOWN(ROUND(L60*VLOOKUP(K60,【参考】数式用!$A$4:$F$57,MATCH("処遇改善加算Ⅳ",【参考】数式用!$C$3:$F$3,0)+2,0),0)*M60,0)*Z60*0.5,0), "")</f>
        <v/>
      </c>
      <c r="AD60" s="245"/>
      <c r="AE60" s="246"/>
      <c r="AF60" s="246"/>
      <c r="AG60" s="247"/>
      <c r="AH60" s="248"/>
      <c r="AI60" s="249"/>
      <c r="AJ60" s="250"/>
      <c r="AK60" s="606" t="str">
        <f t="shared" si="4"/>
        <v/>
      </c>
      <c r="AL60" s="607" t="str">
        <f t="shared" si="30"/>
        <v/>
      </c>
      <c r="AM60" s="608"/>
      <c r="AN60" s="609" t="str">
        <f>IFERROR(VLOOKUP(K60,【参考】数式用!$A$2:$N$57,14,FALSE),"")</f>
        <v/>
      </c>
      <c r="AO60" s="609" t="str">
        <f t="shared" si="5"/>
        <v/>
      </c>
      <c r="AP60" s="610" t="str">
        <f t="shared" si="6"/>
        <v/>
      </c>
      <c r="AQ60" s="611" t="str">
        <f t="shared" si="7"/>
        <v>入力済</v>
      </c>
      <c r="AR60" s="609" t="str">
        <f t="shared" si="8"/>
        <v/>
      </c>
      <c r="AS60" s="611" t="str">
        <f t="shared" si="9"/>
        <v>入力済</v>
      </c>
      <c r="AT60" s="611" t="str">
        <f t="shared" si="10"/>
        <v/>
      </c>
      <c r="AU60" s="611" t="str">
        <f t="shared" si="29"/>
        <v/>
      </c>
      <c r="AV60" s="609" t="str">
        <f t="shared" si="12"/>
        <v/>
      </c>
      <c r="AW60" s="609" t="str">
        <f t="shared" si="13"/>
        <v>入力済</v>
      </c>
      <c r="AX60" s="611" t="str">
        <f>IFERROR(VLOOKUP(K60,【参考】数式用!$AR$3:$AS$49,2, FALSE), "")</f>
        <v/>
      </c>
      <c r="AY60" s="609" t="str">
        <f t="shared" si="14"/>
        <v/>
      </c>
      <c r="AZ60" s="612" t="str">
        <f t="shared" si="15"/>
        <v>入力済</v>
      </c>
      <c r="BA60" s="611" t="str">
        <f>IFERROR(VLOOKUP(K60,【参考】数式用!$AX$3:$AY$59, 2, FALSE), "")</f>
        <v/>
      </c>
      <c r="BB60" s="609" t="str">
        <f t="shared" si="31"/>
        <v/>
      </c>
      <c r="BC60" s="612" t="str">
        <f t="shared" si="32"/>
        <v>入力済</v>
      </c>
      <c r="BD60" s="613" t="str">
        <f t="shared" si="17"/>
        <v/>
      </c>
      <c r="BE60" s="613" t="str">
        <f t="shared" si="33"/>
        <v/>
      </c>
    </row>
    <row r="61" spans="1:57" ht="109.9" customHeight="1" thickBot="1">
      <c r="A61" s="599">
        <v>50</v>
      </c>
      <c r="B61" s="913" t="str">
        <f>IF(基本情報入力シート!B89="","",基本情報入力シート!B89)</f>
        <v/>
      </c>
      <c r="C61" s="914"/>
      <c r="D61" s="914"/>
      <c r="E61" s="914"/>
      <c r="F61" s="915"/>
      <c r="G61" s="600" t="str">
        <f>IF(基本情報入力シート!L89="", "", 基本情報入力シート!L89)</f>
        <v/>
      </c>
      <c r="H61" s="600" t="str">
        <f>IF(基本情報入力シート!Q89="", "", 基本情報入力シート!Q89)</f>
        <v/>
      </c>
      <c r="I61" s="600" t="str">
        <f>IF(基本情報入力シート!V89="", "", 基本情報入力シート!V89)</f>
        <v/>
      </c>
      <c r="J61" s="600" t="str">
        <f>IF(基本情報入力シート!W89="", "", 基本情報入力シート!W89)</f>
        <v/>
      </c>
      <c r="K61" s="600"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01" t="s">
        <v>170</v>
      </c>
      <c r="Q61" s="225"/>
      <c r="R61" s="602" t="s">
        <v>253</v>
      </c>
      <c r="S61" s="225"/>
      <c r="T61" s="602" t="s">
        <v>254</v>
      </c>
      <c r="U61" s="225"/>
      <c r="V61" s="602" t="s">
        <v>253</v>
      </c>
      <c r="W61" s="225"/>
      <c r="X61" s="602" t="s">
        <v>172</v>
      </c>
      <c r="Y61" s="602" t="s">
        <v>256</v>
      </c>
      <c r="Z61" s="602" t="str">
        <f t="shared" si="16"/>
        <v/>
      </c>
      <c r="AA61" s="603" t="s">
        <v>257</v>
      </c>
      <c r="AB61" s="604" t="str">
        <f t="shared" si="28"/>
        <v/>
      </c>
      <c r="AC61" s="605" t="str">
        <f>IFERROR(ROUNDDOWN(ROUNDDOWN(ROUND(L61*VLOOKUP(K61,【参考】数式用!$A$4:$F$57,MATCH("処遇改善加算Ⅳ",【参考】数式用!$C$3:$F$3,0)+2,0),0)*M61,0)*Z61*0.5,0), "")</f>
        <v/>
      </c>
      <c r="AD61" s="245"/>
      <c r="AE61" s="246"/>
      <c r="AF61" s="246"/>
      <c r="AG61" s="247"/>
      <c r="AH61" s="248"/>
      <c r="AI61" s="249"/>
      <c r="AJ61" s="250"/>
      <c r="AK61" s="606" t="str">
        <f t="shared" si="4"/>
        <v/>
      </c>
      <c r="AL61" s="607" t="str">
        <f t="shared" si="30"/>
        <v/>
      </c>
      <c r="AM61" s="608"/>
      <c r="AN61" s="609" t="str">
        <f>IFERROR(VLOOKUP(K61,【参考】数式用!$A$2:$N$57,14,FALSE),"")</f>
        <v/>
      </c>
      <c r="AO61" s="609" t="str">
        <f t="shared" si="5"/>
        <v/>
      </c>
      <c r="AP61" s="610" t="str">
        <f t="shared" si="6"/>
        <v/>
      </c>
      <c r="AQ61" s="611" t="str">
        <f t="shared" si="7"/>
        <v>入力済</v>
      </c>
      <c r="AR61" s="609" t="str">
        <f t="shared" si="8"/>
        <v/>
      </c>
      <c r="AS61" s="611" t="str">
        <f t="shared" si="9"/>
        <v>入力済</v>
      </c>
      <c r="AT61" s="611" t="str">
        <f t="shared" si="10"/>
        <v/>
      </c>
      <c r="AU61" s="611" t="str">
        <f t="shared" si="29"/>
        <v/>
      </c>
      <c r="AV61" s="609" t="str">
        <f t="shared" si="12"/>
        <v/>
      </c>
      <c r="AW61" s="609" t="str">
        <f t="shared" si="13"/>
        <v>入力済</v>
      </c>
      <c r="AX61" s="611" t="str">
        <f>IFERROR(VLOOKUP(K61,【参考】数式用!$AR$3:$AS$49,2, FALSE), "")</f>
        <v/>
      </c>
      <c r="AY61" s="609" t="str">
        <f t="shared" si="14"/>
        <v/>
      </c>
      <c r="AZ61" s="612" t="str">
        <f t="shared" si="15"/>
        <v>入力済</v>
      </c>
      <c r="BA61" s="611" t="str">
        <f>IFERROR(VLOOKUP(K61,【参考】数式用!$AX$3:$AY$59, 2, FALSE), "")</f>
        <v/>
      </c>
      <c r="BB61" s="609" t="str">
        <f t="shared" si="31"/>
        <v/>
      </c>
      <c r="BC61" s="612" t="str">
        <f t="shared" si="32"/>
        <v>入力済</v>
      </c>
      <c r="BD61" s="613" t="str">
        <f t="shared" si="17"/>
        <v/>
      </c>
      <c r="BE61" s="613" t="str">
        <f t="shared" si="33"/>
        <v/>
      </c>
    </row>
    <row r="62" spans="1:57" ht="109.9" customHeight="1" thickBot="1">
      <c r="A62" s="599">
        <v>51</v>
      </c>
      <c r="B62" s="913" t="str">
        <f>IF(基本情報入力シート!B90="","",基本情報入力シート!B90)</f>
        <v/>
      </c>
      <c r="C62" s="914"/>
      <c r="D62" s="914"/>
      <c r="E62" s="914"/>
      <c r="F62" s="915"/>
      <c r="G62" s="600" t="str">
        <f>IF(基本情報入力シート!L90="", "", 基本情報入力シート!L90)</f>
        <v/>
      </c>
      <c r="H62" s="600" t="str">
        <f>IF(基本情報入力シート!Q90="", "", 基本情報入力シート!Q90)</f>
        <v/>
      </c>
      <c r="I62" s="600" t="str">
        <f>IF(基本情報入力シート!V90="", "", 基本情報入力シート!V90)</f>
        <v/>
      </c>
      <c r="J62" s="600" t="str">
        <f>IF(基本情報入力シート!W90="", "", 基本情報入力シート!W90)</f>
        <v/>
      </c>
      <c r="K62" s="600"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01" t="s">
        <v>170</v>
      </c>
      <c r="Q62" s="225"/>
      <c r="R62" s="602" t="s">
        <v>253</v>
      </c>
      <c r="S62" s="225"/>
      <c r="T62" s="602" t="s">
        <v>254</v>
      </c>
      <c r="U62" s="225"/>
      <c r="V62" s="602" t="s">
        <v>253</v>
      </c>
      <c r="W62" s="225"/>
      <c r="X62" s="602" t="s">
        <v>172</v>
      </c>
      <c r="Y62" s="602" t="s">
        <v>256</v>
      </c>
      <c r="Z62" s="602" t="str">
        <f t="shared" si="16"/>
        <v/>
      </c>
      <c r="AA62" s="603" t="s">
        <v>257</v>
      </c>
      <c r="AB62" s="604" t="str">
        <f t="shared" si="28"/>
        <v/>
      </c>
      <c r="AC62" s="605" t="str">
        <f>IFERROR(ROUNDDOWN(ROUNDDOWN(ROUND(L62*VLOOKUP(K62,【参考】数式用!$A$4:$F$57,MATCH("処遇改善加算Ⅳ",【参考】数式用!$C$3:$F$3,0)+2,0),0)*M62,0)*Z62*0.5,0), "")</f>
        <v/>
      </c>
      <c r="AD62" s="245"/>
      <c r="AE62" s="246"/>
      <c r="AF62" s="246"/>
      <c r="AG62" s="247"/>
      <c r="AH62" s="248"/>
      <c r="AI62" s="249"/>
      <c r="AJ62" s="250"/>
      <c r="AK62" s="606" t="str">
        <f t="shared" si="4"/>
        <v/>
      </c>
      <c r="AL62" s="607" t="str">
        <f t="shared" si="30"/>
        <v/>
      </c>
      <c r="AM62" s="608"/>
      <c r="AN62" s="609" t="str">
        <f>IFERROR(VLOOKUP(K62,【参考】数式用!$A$2:$N$57,14,FALSE),"")</f>
        <v/>
      </c>
      <c r="AO62" s="609" t="str">
        <f t="shared" si="5"/>
        <v/>
      </c>
      <c r="AP62" s="610" t="str">
        <f t="shared" si="6"/>
        <v/>
      </c>
      <c r="AQ62" s="611" t="str">
        <f t="shared" si="7"/>
        <v>入力済</v>
      </c>
      <c r="AR62" s="609" t="str">
        <f t="shared" si="8"/>
        <v/>
      </c>
      <c r="AS62" s="611" t="str">
        <f t="shared" si="9"/>
        <v>入力済</v>
      </c>
      <c r="AT62" s="611" t="str">
        <f t="shared" si="10"/>
        <v/>
      </c>
      <c r="AU62" s="611" t="str">
        <f t="shared" si="29"/>
        <v/>
      </c>
      <c r="AV62" s="609" t="str">
        <f t="shared" si="12"/>
        <v/>
      </c>
      <c r="AW62" s="609" t="str">
        <f t="shared" si="13"/>
        <v>入力済</v>
      </c>
      <c r="AX62" s="611" t="str">
        <f>IFERROR(VLOOKUP(K62,【参考】数式用!$AR$3:$AS$49,2, FALSE), "")</f>
        <v/>
      </c>
      <c r="AY62" s="609" t="str">
        <f t="shared" si="14"/>
        <v/>
      </c>
      <c r="AZ62" s="612" t="str">
        <f t="shared" si="15"/>
        <v>入力済</v>
      </c>
      <c r="BA62" s="611" t="str">
        <f>IFERROR(VLOOKUP(K62,【参考】数式用!$AX$3:$AY$59, 2, FALSE), "")</f>
        <v/>
      </c>
      <c r="BB62" s="609" t="str">
        <f t="shared" si="31"/>
        <v/>
      </c>
      <c r="BC62" s="612" t="str">
        <f t="shared" si="32"/>
        <v>入力済</v>
      </c>
      <c r="BD62" s="613" t="str">
        <f t="shared" si="17"/>
        <v/>
      </c>
      <c r="BE62" s="613" t="str">
        <f t="shared" si="33"/>
        <v/>
      </c>
    </row>
    <row r="63" spans="1:57" ht="109.9" customHeight="1" thickBot="1">
      <c r="A63" s="599">
        <v>52</v>
      </c>
      <c r="B63" s="913" t="str">
        <f>IF(基本情報入力シート!B91="","",基本情報入力シート!B91)</f>
        <v/>
      </c>
      <c r="C63" s="914"/>
      <c r="D63" s="914"/>
      <c r="E63" s="914"/>
      <c r="F63" s="915"/>
      <c r="G63" s="600" t="str">
        <f>IF(基本情報入力シート!L91="", "", 基本情報入力シート!L91)</f>
        <v/>
      </c>
      <c r="H63" s="600" t="str">
        <f>IF(基本情報入力シート!Q91="", "", 基本情報入力シート!Q91)</f>
        <v/>
      </c>
      <c r="I63" s="600" t="str">
        <f>IF(基本情報入力シート!V91="", "", 基本情報入力シート!V91)</f>
        <v/>
      </c>
      <c r="J63" s="600" t="str">
        <f>IF(基本情報入力シート!W91="", "", 基本情報入力シート!W91)</f>
        <v/>
      </c>
      <c r="K63" s="600"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01" t="s">
        <v>170</v>
      </c>
      <c r="Q63" s="225"/>
      <c r="R63" s="602" t="s">
        <v>253</v>
      </c>
      <c r="S63" s="225"/>
      <c r="T63" s="602" t="s">
        <v>254</v>
      </c>
      <c r="U63" s="225"/>
      <c r="V63" s="602" t="s">
        <v>253</v>
      </c>
      <c r="W63" s="225"/>
      <c r="X63" s="602" t="s">
        <v>255</v>
      </c>
      <c r="Y63" s="602" t="s">
        <v>256</v>
      </c>
      <c r="Z63" s="602" t="str">
        <f t="shared" si="16"/>
        <v/>
      </c>
      <c r="AA63" s="603" t="s">
        <v>257</v>
      </c>
      <c r="AB63" s="604" t="str">
        <f t="shared" si="28"/>
        <v/>
      </c>
      <c r="AC63" s="605" t="str">
        <f>IFERROR(ROUNDDOWN(ROUNDDOWN(ROUND(L63*VLOOKUP(K63,【参考】数式用!$A$4:$F$57,MATCH("処遇改善加算Ⅳ",【参考】数式用!$C$3:$F$3,0)+2,0),0)*M63,0)*Z63*0.5,0), "")</f>
        <v/>
      </c>
      <c r="AD63" s="245"/>
      <c r="AE63" s="246"/>
      <c r="AF63" s="246"/>
      <c r="AG63" s="247"/>
      <c r="AH63" s="248"/>
      <c r="AI63" s="249"/>
      <c r="AJ63" s="250"/>
      <c r="AK63" s="606" t="str">
        <f t="shared" si="4"/>
        <v/>
      </c>
      <c r="AL63" s="607" t="str">
        <f t="shared" si="30"/>
        <v/>
      </c>
      <c r="AM63" s="608"/>
      <c r="AN63" s="609" t="str">
        <f>IFERROR(VLOOKUP(K63,【参考】数式用!$A$2:$N$57,14,FALSE),"")</f>
        <v/>
      </c>
      <c r="AO63" s="609" t="str">
        <f t="shared" si="5"/>
        <v/>
      </c>
      <c r="AP63" s="610" t="str">
        <f t="shared" si="6"/>
        <v/>
      </c>
      <c r="AQ63" s="611" t="str">
        <f t="shared" si="7"/>
        <v>入力済</v>
      </c>
      <c r="AR63" s="609" t="str">
        <f t="shared" si="8"/>
        <v/>
      </c>
      <c r="AS63" s="611" t="str">
        <f t="shared" si="9"/>
        <v>入力済</v>
      </c>
      <c r="AT63" s="611" t="str">
        <f t="shared" si="10"/>
        <v/>
      </c>
      <c r="AU63" s="611" t="str">
        <f t="shared" si="29"/>
        <v/>
      </c>
      <c r="AV63" s="609" t="str">
        <f t="shared" si="12"/>
        <v/>
      </c>
      <c r="AW63" s="609" t="str">
        <f t="shared" si="13"/>
        <v>入力済</v>
      </c>
      <c r="AX63" s="611" t="str">
        <f>IFERROR(VLOOKUP(K63,【参考】数式用!$AR$3:$AS$49,2, FALSE), "")</f>
        <v/>
      </c>
      <c r="AY63" s="609" t="str">
        <f t="shared" si="14"/>
        <v/>
      </c>
      <c r="AZ63" s="612" t="str">
        <f t="shared" si="15"/>
        <v>入力済</v>
      </c>
      <c r="BA63" s="611" t="str">
        <f>IFERROR(VLOOKUP(K63,【参考】数式用!$AX$3:$AY$59, 2, FALSE), "")</f>
        <v/>
      </c>
      <c r="BB63" s="609" t="str">
        <f t="shared" si="31"/>
        <v/>
      </c>
      <c r="BC63" s="612" t="str">
        <f t="shared" si="32"/>
        <v>入力済</v>
      </c>
      <c r="BD63" s="613" t="str">
        <f t="shared" si="17"/>
        <v/>
      </c>
      <c r="BE63" s="613" t="str">
        <f t="shared" si="33"/>
        <v/>
      </c>
    </row>
    <row r="64" spans="1:57" ht="109.9" customHeight="1" thickBot="1">
      <c r="A64" s="599">
        <v>53</v>
      </c>
      <c r="B64" s="913" t="str">
        <f>IF(基本情報入力シート!B92="","",基本情報入力シート!B92)</f>
        <v/>
      </c>
      <c r="C64" s="914"/>
      <c r="D64" s="914"/>
      <c r="E64" s="914"/>
      <c r="F64" s="915"/>
      <c r="G64" s="600" t="str">
        <f>IF(基本情報入力シート!L92="", "", 基本情報入力シート!L92)</f>
        <v/>
      </c>
      <c r="H64" s="600" t="str">
        <f>IF(基本情報入力シート!Q92="", "", 基本情報入力シート!Q92)</f>
        <v/>
      </c>
      <c r="I64" s="600" t="str">
        <f>IF(基本情報入力シート!V92="", "", 基本情報入力シート!V92)</f>
        <v/>
      </c>
      <c r="J64" s="600" t="str">
        <f>IF(基本情報入力シート!W92="", "", 基本情報入力シート!W92)</f>
        <v/>
      </c>
      <c r="K64" s="600"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01" t="s">
        <v>170</v>
      </c>
      <c r="Q64" s="225"/>
      <c r="R64" s="602" t="s">
        <v>253</v>
      </c>
      <c r="S64" s="225"/>
      <c r="T64" s="602" t="s">
        <v>254</v>
      </c>
      <c r="U64" s="225"/>
      <c r="V64" s="602" t="s">
        <v>253</v>
      </c>
      <c r="W64" s="225"/>
      <c r="X64" s="602" t="s">
        <v>255</v>
      </c>
      <c r="Y64" s="602" t="s">
        <v>256</v>
      </c>
      <c r="Z64" s="602" t="str">
        <f t="shared" si="16"/>
        <v/>
      </c>
      <c r="AA64" s="603" t="s">
        <v>257</v>
      </c>
      <c r="AB64" s="604" t="str">
        <f t="shared" si="28"/>
        <v/>
      </c>
      <c r="AC64" s="605" t="str">
        <f>IFERROR(ROUNDDOWN(ROUNDDOWN(ROUND(L64*VLOOKUP(K64,【参考】数式用!$A$4:$F$57,MATCH("処遇改善加算Ⅳ",【参考】数式用!$C$3:$F$3,0)+2,0),0)*M64,0)*Z64*0.5,0), "")</f>
        <v/>
      </c>
      <c r="AD64" s="245"/>
      <c r="AE64" s="246"/>
      <c r="AF64" s="246"/>
      <c r="AG64" s="247"/>
      <c r="AH64" s="248"/>
      <c r="AI64" s="249"/>
      <c r="AJ64" s="250"/>
      <c r="AK64" s="606" t="str">
        <f t="shared" si="4"/>
        <v/>
      </c>
      <c r="AL64" s="607" t="str">
        <f t="shared" si="30"/>
        <v/>
      </c>
      <c r="AM64" s="608"/>
      <c r="AN64" s="609" t="str">
        <f>IFERROR(VLOOKUP(K64,【参考】数式用!$A$2:$N$57,14,FALSE),"")</f>
        <v/>
      </c>
      <c r="AO64" s="609" t="str">
        <f t="shared" si="5"/>
        <v/>
      </c>
      <c r="AP64" s="610" t="str">
        <f t="shared" si="6"/>
        <v/>
      </c>
      <c r="AQ64" s="611" t="str">
        <f t="shared" si="7"/>
        <v>入力済</v>
      </c>
      <c r="AR64" s="609" t="str">
        <f t="shared" si="8"/>
        <v/>
      </c>
      <c r="AS64" s="611" t="str">
        <f t="shared" si="9"/>
        <v>入力済</v>
      </c>
      <c r="AT64" s="611" t="str">
        <f t="shared" si="10"/>
        <v/>
      </c>
      <c r="AU64" s="611" t="str">
        <f t="shared" si="29"/>
        <v/>
      </c>
      <c r="AV64" s="609" t="str">
        <f t="shared" si="12"/>
        <v/>
      </c>
      <c r="AW64" s="609" t="str">
        <f t="shared" si="13"/>
        <v>入力済</v>
      </c>
      <c r="AX64" s="611" t="str">
        <f>IFERROR(VLOOKUP(K64,【参考】数式用!$AR$3:$AS$49,2, FALSE), "")</f>
        <v/>
      </c>
      <c r="AY64" s="609" t="str">
        <f t="shared" si="14"/>
        <v/>
      </c>
      <c r="AZ64" s="612" t="str">
        <f t="shared" si="15"/>
        <v>入力済</v>
      </c>
      <c r="BA64" s="611" t="str">
        <f>IFERROR(VLOOKUP(K64,【参考】数式用!$AX$3:$AY$59, 2, FALSE), "")</f>
        <v/>
      </c>
      <c r="BB64" s="609" t="str">
        <f t="shared" si="31"/>
        <v/>
      </c>
      <c r="BC64" s="612" t="str">
        <f t="shared" si="32"/>
        <v>入力済</v>
      </c>
      <c r="BD64" s="613" t="str">
        <f t="shared" si="17"/>
        <v/>
      </c>
      <c r="BE64" s="613" t="str">
        <f t="shared" si="33"/>
        <v/>
      </c>
    </row>
    <row r="65" spans="1:57" ht="109.9" customHeight="1" thickBot="1">
      <c r="A65" s="599">
        <v>54</v>
      </c>
      <c r="B65" s="913" t="str">
        <f>IF(基本情報入力シート!B93="","",基本情報入力シート!B93)</f>
        <v/>
      </c>
      <c r="C65" s="914"/>
      <c r="D65" s="914"/>
      <c r="E65" s="914"/>
      <c r="F65" s="915"/>
      <c r="G65" s="600" t="str">
        <f>IF(基本情報入力シート!L93="", "", 基本情報入力シート!L93)</f>
        <v/>
      </c>
      <c r="H65" s="600" t="str">
        <f>IF(基本情報入力シート!Q93="", "", 基本情報入力シート!Q93)</f>
        <v/>
      </c>
      <c r="I65" s="600" t="str">
        <f>IF(基本情報入力シート!V93="", "", 基本情報入力シート!V93)</f>
        <v/>
      </c>
      <c r="J65" s="600" t="str">
        <f>IF(基本情報入力シート!W93="", "", 基本情報入力シート!W93)</f>
        <v/>
      </c>
      <c r="K65" s="600"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01" t="s">
        <v>170</v>
      </c>
      <c r="Q65" s="225"/>
      <c r="R65" s="602" t="s">
        <v>253</v>
      </c>
      <c r="S65" s="225"/>
      <c r="T65" s="602" t="s">
        <v>254</v>
      </c>
      <c r="U65" s="225"/>
      <c r="V65" s="602" t="s">
        <v>253</v>
      </c>
      <c r="W65" s="225"/>
      <c r="X65" s="602" t="s">
        <v>255</v>
      </c>
      <c r="Y65" s="602" t="s">
        <v>256</v>
      </c>
      <c r="Z65" s="602" t="str">
        <f t="shared" si="16"/>
        <v/>
      </c>
      <c r="AA65" s="603" t="s">
        <v>257</v>
      </c>
      <c r="AB65" s="604" t="str">
        <f t="shared" si="28"/>
        <v/>
      </c>
      <c r="AC65" s="605" t="str">
        <f>IFERROR(ROUNDDOWN(ROUNDDOWN(ROUND(L65*VLOOKUP(K65,【参考】数式用!$A$4:$F$57,MATCH("処遇改善加算Ⅳ",【参考】数式用!$C$3:$F$3,0)+2,0),0)*M65,0)*Z65*0.5,0), "")</f>
        <v/>
      </c>
      <c r="AD65" s="245"/>
      <c r="AE65" s="246"/>
      <c r="AF65" s="246"/>
      <c r="AG65" s="247"/>
      <c r="AH65" s="248"/>
      <c r="AI65" s="249"/>
      <c r="AJ65" s="250"/>
      <c r="AK65" s="606" t="str">
        <f t="shared" si="4"/>
        <v/>
      </c>
      <c r="AL65" s="607" t="str">
        <f t="shared" si="30"/>
        <v/>
      </c>
      <c r="AM65" s="608"/>
      <c r="AN65" s="609" t="str">
        <f>IFERROR(VLOOKUP(K65,【参考】数式用!$A$2:$N$57,14,FALSE),"")</f>
        <v/>
      </c>
      <c r="AO65" s="609" t="str">
        <f t="shared" si="5"/>
        <v/>
      </c>
      <c r="AP65" s="610" t="str">
        <f t="shared" si="6"/>
        <v/>
      </c>
      <c r="AQ65" s="611" t="str">
        <f t="shared" si="7"/>
        <v>入力済</v>
      </c>
      <c r="AR65" s="609" t="str">
        <f t="shared" si="8"/>
        <v/>
      </c>
      <c r="AS65" s="611" t="str">
        <f t="shared" si="9"/>
        <v>入力済</v>
      </c>
      <c r="AT65" s="611" t="str">
        <f t="shared" si="10"/>
        <v/>
      </c>
      <c r="AU65" s="611" t="str">
        <f t="shared" si="29"/>
        <v/>
      </c>
      <c r="AV65" s="609" t="str">
        <f t="shared" si="12"/>
        <v/>
      </c>
      <c r="AW65" s="609" t="str">
        <f t="shared" si="13"/>
        <v>入力済</v>
      </c>
      <c r="AX65" s="611" t="str">
        <f>IFERROR(VLOOKUP(K65,【参考】数式用!$AR$3:$AS$49,2, FALSE), "")</f>
        <v/>
      </c>
      <c r="AY65" s="609" t="str">
        <f t="shared" si="14"/>
        <v/>
      </c>
      <c r="AZ65" s="612" t="str">
        <f t="shared" si="15"/>
        <v>入力済</v>
      </c>
      <c r="BA65" s="611" t="str">
        <f>IFERROR(VLOOKUP(K65,【参考】数式用!$AX$3:$AY$59, 2, FALSE), "")</f>
        <v/>
      </c>
      <c r="BB65" s="609" t="str">
        <f t="shared" si="31"/>
        <v/>
      </c>
      <c r="BC65" s="612" t="str">
        <f t="shared" si="32"/>
        <v>入力済</v>
      </c>
      <c r="BD65" s="613" t="str">
        <f t="shared" si="17"/>
        <v/>
      </c>
      <c r="BE65" s="613" t="str">
        <f t="shared" si="33"/>
        <v/>
      </c>
    </row>
    <row r="66" spans="1:57" ht="109.9" customHeight="1" thickBot="1">
      <c r="A66" s="599">
        <v>55</v>
      </c>
      <c r="B66" s="913" t="str">
        <f>IF(基本情報入力シート!B94="","",基本情報入力シート!B94)</f>
        <v/>
      </c>
      <c r="C66" s="914"/>
      <c r="D66" s="914"/>
      <c r="E66" s="914"/>
      <c r="F66" s="915"/>
      <c r="G66" s="600" t="str">
        <f>IF(基本情報入力シート!L94="", "", 基本情報入力シート!L94)</f>
        <v/>
      </c>
      <c r="H66" s="600" t="str">
        <f>IF(基本情報入力シート!Q94="", "", 基本情報入力シート!Q94)</f>
        <v/>
      </c>
      <c r="I66" s="600" t="str">
        <f>IF(基本情報入力シート!V94="", "", 基本情報入力シート!V94)</f>
        <v/>
      </c>
      <c r="J66" s="600" t="str">
        <f>IF(基本情報入力シート!W94="", "", 基本情報入力シート!W94)</f>
        <v/>
      </c>
      <c r="K66" s="600"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01" t="s">
        <v>170</v>
      </c>
      <c r="Q66" s="225"/>
      <c r="R66" s="602" t="s">
        <v>253</v>
      </c>
      <c r="S66" s="225"/>
      <c r="T66" s="602" t="s">
        <v>254</v>
      </c>
      <c r="U66" s="225"/>
      <c r="V66" s="602" t="s">
        <v>253</v>
      </c>
      <c r="W66" s="225"/>
      <c r="X66" s="602" t="s">
        <v>172</v>
      </c>
      <c r="Y66" s="602" t="s">
        <v>256</v>
      </c>
      <c r="Z66" s="602" t="str">
        <f t="shared" si="16"/>
        <v/>
      </c>
      <c r="AA66" s="603" t="s">
        <v>257</v>
      </c>
      <c r="AB66" s="604" t="str">
        <f t="shared" si="28"/>
        <v/>
      </c>
      <c r="AC66" s="605" t="str">
        <f>IFERROR(ROUNDDOWN(ROUNDDOWN(ROUND(L66*VLOOKUP(K66,【参考】数式用!$A$4:$F$57,MATCH("処遇改善加算Ⅳ",【参考】数式用!$C$3:$F$3,0)+2,0),0)*M66,0)*Z66*0.5,0), "")</f>
        <v/>
      </c>
      <c r="AD66" s="245"/>
      <c r="AE66" s="246"/>
      <c r="AF66" s="246"/>
      <c r="AG66" s="247"/>
      <c r="AH66" s="248"/>
      <c r="AI66" s="249"/>
      <c r="AJ66" s="250"/>
      <c r="AK66" s="606" t="str">
        <f t="shared" si="4"/>
        <v/>
      </c>
      <c r="AL66" s="607" t="str">
        <f t="shared" si="30"/>
        <v/>
      </c>
      <c r="AM66" s="608"/>
      <c r="AN66" s="609" t="str">
        <f>IFERROR(VLOOKUP(K66,【参考】数式用!$A$2:$N$57,14,FALSE),"")</f>
        <v/>
      </c>
      <c r="AO66" s="609" t="str">
        <f t="shared" si="5"/>
        <v/>
      </c>
      <c r="AP66" s="610" t="str">
        <f t="shared" si="6"/>
        <v/>
      </c>
      <c r="AQ66" s="611" t="str">
        <f t="shared" si="7"/>
        <v>入力済</v>
      </c>
      <c r="AR66" s="609" t="str">
        <f t="shared" si="8"/>
        <v/>
      </c>
      <c r="AS66" s="611" t="str">
        <f t="shared" si="9"/>
        <v>入力済</v>
      </c>
      <c r="AT66" s="611" t="str">
        <f t="shared" si="10"/>
        <v/>
      </c>
      <c r="AU66" s="611" t="str">
        <f t="shared" si="29"/>
        <v/>
      </c>
      <c r="AV66" s="609" t="str">
        <f t="shared" si="12"/>
        <v/>
      </c>
      <c r="AW66" s="609" t="str">
        <f t="shared" si="13"/>
        <v>入力済</v>
      </c>
      <c r="AX66" s="611" t="str">
        <f>IFERROR(VLOOKUP(K66,【参考】数式用!$AR$3:$AS$49,2, FALSE), "")</f>
        <v/>
      </c>
      <c r="AY66" s="609" t="str">
        <f t="shared" si="14"/>
        <v/>
      </c>
      <c r="AZ66" s="612" t="str">
        <f t="shared" si="15"/>
        <v>入力済</v>
      </c>
      <c r="BA66" s="611" t="str">
        <f>IFERROR(VLOOKUP(K66,【参考】数式用!$AX$3:$AY$59, 2, FALSE), "")</f>
        <v/>
      </c>
      <c r="BB66" s="609" t="str">
        <f t="shared" si="31"/>
        <v/>
      </c>
      <c r="BC66" s="612" t="str">
        <f t="shared" si="32"/>
        <v>入力済</v>
      </c>
      <c r="BD66" s="613" t="str">
        <f t="shared" si="17"/>
        <v/>
      </c>
      <c r="BE66" s="613" t="str">
        <f t="shared" si="33"/>
        <v/>
      </c>
    </row>
    <row r="67" spans="1:57" ht="109.9" customHeight="1" thickBot="1">
      <c r="A67" s="599">
        <v>56</v>
      </c>
      <c r="B67" s="913" t="str">
        <f>IF(基本情報入力シート!B95="","",基本情報入力シート!B95)</f>
        <v/>
      </c>
      <c r="C67" s="914"/>
      <c r="D67" s="914"/>
      <c r="E67" s="914"/>
      <c r="F67" s="915"/>
      <c r="G67" s="600" t="str">
        <f>IF(基本情報入力シート!L95="", "", 基本情報入力シート!L95)</f>
        <v/>
      </c>
      <c r="H67" s="600" t="str">
        <f>IF(基本情報入力シート!Q95="", "", 基本情報入力シート!Q95)</f>
        <v/>
      </c>
      <c r="I67" s="600" t="str">
        <f>IF(基本情報入力シート!V95="", "", 基本情報入力シート!V95)</f>
        <v/>
      </c>
      <c r="J67" s="600" t="str">
        <f>IF(基本情報入力シート!W95="", "", 基本情報入力シート!W95)</f>
        <v/>
      </c>
      <c r="K67" s="600"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01" t="s">
        <v>170</v>
      </c>
      <c r="Q67" s="225"/>
      <c r="R67" s="602" t="s">
        <v>253</v>
      </c>
      <c r="S67" s="225"/>
      <c r="T67" s="602" t="s">
        <v>254</v>
      </c>
      <c r="U67" s="225"/>
      <c r="V67" s="602" t="s">
        <v>253</v>
      </c>
      <c r="W67" s="225"/>
      <c r="X67" s="602" t="s">
        <v>255</v>
      </c>
      <c r="Y67" s="602" t="s">
        <v>256</v>
      </c>
      <c r="Z67" s="602" t="str">
        <f t="shared" si="16"/>
        <v/>
      </c>
      <c r="AA67" s="603" t="s">
        <v>257</v>
      </c>
      <c r="AB67" s="604" t="str">
        <f t="shared" si="28"/>
        <v/>
      </c>
      <c r="AC67" s="605" t="str">
        <f>IFERROR(ROUNDDOWN(ROUNDDOWN(ROUND(L67*VLOOKUP(K67,【参考】数式用!$A$4:$F$57,MATCH("処遇改善加算Ⅳ",【参考】数式用!$C$3:$F$3,0)+2,0),0)*M67,0)*Z67*0.5,0), "")</f>
        <v/>
      </c>
      <c r="AD67" s="245"/>
      <c r="AE67" s="246"/>
      <c r="AF67" s="246"/>
      <c r="AG67" s="247"/>
      <c r="AH67" s="248"/>
      <c r="AI67" s="249"/>
      <c r="AJ67" s="250"/>
      <c r="AK67" s="606" t="str">
        <f t="shared" si="4"/>
        <v/>
      </c>
      <c r="AL67" s="607" t="str">
        <f t="shared" si="30"/>
        <v/>
      </c>
      <c r="AM67" s="608"/>
      <c r="AN67" s="609" t="str">
        <f>IFERROR(VLOOKUP(K67,【参考】数式用!$A$2:$N$57,14,FALSE),"")</f>
        <v/>
      </c>
      <c r="AO67" s="609" t="str">
        <f t="shared" si="5"/>
        <v/>
      </c>
      <c r="AP67" s="610" t="str">
        <f t="shared" si="6"/>
        <v/>
      </c>
      <c r="AQ67" s="611" t="str">
        <f t="shared" si="7"/>
        <v>入力済</v>
      </c>
      <c r="AR67" s="609" t="str">
        <f t="shared" si="8"/>
        <v/>
      </c>
      <c r="AS67" s="611" t="str">
        <f t="shared" si="9"/>
        <v>入力済</v>
      </c>
      <c r="AT67" s="611" t="str">
        <f t="shared" si="10"/>
        <v/>
      </c>
      <c r="AU67" s="611" t="str">
        <f t="shared" si="29"/>
        <v/>
      </c>
      <c r="AV67" s="609" t="str">
        <f t="shared" si="12"/>
        <v/>
      </c>
      <c r="AW67" s="609" t="str">
        <f t="shared" si="13"/>
        <v>入力済</v>
      </c>
      <c r="AX67" s="611" t="str">
        <f>IFERROR(VLOOKUP(K67,【参考】数式用!$AR$3:$AS$49,2, FALSE), "")</f>
        <v/>
      </c>
      <c r="AY67" s="609" t="str">
        <f t="shared" si="14"/>
        <v/>
      </c>
      <c r="AZ67" s="612" t="str">
        <f t="shared" si="15"/>
        <v>入力済</v>
      </c>
      <c r="BA67" s="611" t="str">
        <f>IFERROR(VLOOKUP(K67,【参考】数式用!$AX$3:$AY$59, 2, FALSE), "")</f>
        <v/>
      </c>
      <c r="BB67" s="609" t="str">
        <f t="shared" si="31"/>
        <v/>
      </c>
      <c r="BC67" s="612" t="str">
        <f t="shared" si="32"/>
        <v>入力済</v>
      </c>
      <c r="BD67" s="613" t="str">
        <f t="shared" si="17"/>
        <v/>
      </c>
      <c r="BE67" s="613" t="str">
        <f t="shared" si="33"/>
        <v/>
      </c>
    </row>
    <row r="68" spans="1:57" ht="109.9" customHeight="1" thickBot="1">
      <c r="A68" s="599">
        <v>57</v>
      </c>
      <c r="B68" s="913" t="str">
        <f>IF(基本情報入力シート!B96="","",基本情報入力シート!B96)</f>
        <v/>
      </c>
      <c r="C68" s="914"/>
      <c r="D68" s="914"/>
      <c r="E68" s="914"/>
      <c r="F68" s="915"/>
      <c r="G68" s="600" t="str">
        <f>IF(基本情報入力シート!L96="", "", 基本情報入力シート!L96)</f>
        <v/>
      </c>
      <c r="H68" s="600" t="str">
        <f>IF(基本情報入力シート!Q96="", "", 基本情報入力シート!Q96)</f>
        <v/>
      </c>
      <c r="I68" s="600" t="str">
        <f>IF(基本情報入力シート!V96="", "", 基本情報入力シート!V96)</f>
        <v/>
      </c>
      <c r="J68" s="600" t="str">
        <f>IF(基本情報入力シート!W96="", "", 基本情報入力シート!W96)</f>
        <v/>
      </c>
      <c r="K68" s="600"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01" t="s">
        <v>170</v>
      </c>
      <c r="Q68" s="225"/>
      <c r="R68" s="602" t="s">
        <v>253</v>
      </c>
      <c r="S68" s="225"/>
      <c r="T68" s="602" t="s">
        <v>254</v>
      </c>
      <c r="U68" s="225"/>
      <c r="V68" s="602" t="s">
        <v>253</v>
      </c>
      <c r="W68" s="225"/>
      <c r="X68" s="602" t="s">
        <v>255</v>
      </c>
      <c r="Y68" s="602" t="s">
        <v>256</v>
      </c>
      <c r="Z68" s="602" t="str">
        <f t="shared" si="16"/>
        <v/>
      </c>
      <c r="AA68" s="603" t="s">
        <v>257</v>
      </c>
      <c r="AB68" s="604" t="str">
        <f t="shared" si="28"/>
        <v/>
      </c>
      <c r="AC68" s="605" t="str">
        <f>IFERROR(ROUNDDOWN(ROUNDDOWN(ROUND(L68*VLOOKUP(K68,【参考】数式用!$A$4:$F$57,MATCH("処遇改善加算Ⅳ",【参考】数式用!$C$3:$F$3,0)+2,0),0)*M68,0)*Z68*0.5,0), "")</f>
        <v/>
      </c>
      <c r="AD68" s="245"/>
      <c r="AE68" s="246"/>
      <c r="AF68" s="246"/>
      <c r="AG68" s="247"/>
      <c r="AH68" s="248"/>
      <c r="AI68" s="249"/>
      <c r="AJ68" s="250"/>
      <c r="AK68" s="606" t="str">
        <f t="shared" si="4"/>
        <v/>
      </c>
      <c r="AL68" s="607" t="str">
        <f t="shared" si="30"/>
        <v/>
      </c>
      <c r="AM68" s="608"/>
      <c r="AN68" s="609" t="str">
        <f>IFERROR(VLOOKUP(K68,【参考】数式用!$A$2:$N$57,14,FALSE),"")</f>
        <v/>
      </c>
      <c r="AO68" s="609" t="str">
        <f t="shared" si="5"/>
        <v/>
      </c>
      <c r="AP68" s="610" t="str">
        <f t="shared" si="6"/>
        <v/>
      </c>
      <c r="AQ68" s="611" t="str">
        <f t="shared" si="7"/>
        <v>入力済</v>
      </c>
      <c r="AR68" s="609" t="str">
        <f t="shared" si="8"/>
        <v/>
      </c>
      <c r="AS68" s="611" t="str">
        <f t="shared" si="9"/>
        <v>入力済</v>
      </c>
      <c r="AT68" s="611" t="str">
        <f t="shared" si="10"/>
        <v/>
      </c>
      <c r="AU68" s="611" t="str">
        <f t="shared" si="29"/>
        <v/>
      </c>
      <c r="AV68" s="609" t="str">
        <f t="shared" si="12"/>
        <v/>
      </c>
      <c r="AW68" s="609" t="str">
        <f t="shared" si="13"/>
        <v>入力済</v>
      </c>
      <c r="AX68" s="611" t="str">
        <f>IFERROR(VLOOKUP(K68,【参考】数式用!$AR$3:$AS$49,2, FALSE), "")</f>
        <v/>
      </c>
      <c r="AY68" s="609" t="str">
        <f t="shared" si="14"/>
        <v/>
      </c>
      <c r="AZ68" s="612" t="str">
        <f t="shared" si="15"/>
        <v>入力済</v>
      </c>
      <c r="BA68" s="611" t="str">
        <f>IFERROR(VLOOKUP(K68,【参考】数式用!$AX$3:$AY$59, 2, FALSE), "")</f>
        <v/>
      </c>
      <c r="BB68" s="609" t="str">
        <f t="shared" si="31"/>
        <v/>
      </c>
      <c r="BC68" s="612" t="str">
        <f t="shared" si="32"/>
        <v>入力済</v>
      </c>
      <c r="BD68" s="613" t="str">
        <f t="shared" si="17"/>
        <v/>
      </c>
      <c r="BE68" s="613" t="str">
        <f t="shared" si="33"/>
        <v/>
      </c>
    </row>
    <row r="69" spans="1:57" ht="109.9" customHeight="1" thickBot="1">
      <c r="A69" s="599">
        <v>58</v>
      </c>
      <c r="B69" s="913" t="str">
        <f>IF(基本情報入力シート!B97="","",基本情報入力シート!B97)</f>
        <v/>
      </c>
      <c r="C69" s="914"/>
      <c r="D69" s="914"/>
      <c r="E69" s="914"/>
      <c r="F69" s="915"/>
      <c r="G69" s="600" t="str">
        <f>IF(基本情報入力シート!L97="", "", 基本情報入力シート!L97)</f>
        <v/>
      </c>
      <c r="H69" s="600" t="str">
        <f>IF(基本情報入力シート!Q97="", "", 基本情報入力シート!Q97)</f>
        <v/>
      </c>
      <c r="I69" s="600" t="str">
        <f>IF(基本情報入力シート!V97="", "", 基本情報入力シート!V97)</f>
        <v/>
      </c>
      <c r="J69" s="600" t="str">
        <f>IF(基本情報入力シート!W97="", "", 基本情報入力シート!W97)</f>
        <v/>
      </c>
      <c r="K69" s="600"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01" t="s">
        <v>170</v>
      </c>
      <c r="Q69" s="225"/>
      <c r="R69" s="602" t="s">
        <v>253</v>
      </c>
      <c r="S69" s="225"/>
      <c r="T69" s="602" t="s">
        <v>254</v>
      </c>
      <c r="U69" s="225"/>
      <c r="V69" s="602" t="s">
        <v>253</v>
      </c>
      <c r="W69" s="225"/>
      <c r="X69" s="602" t="s">
        <v>255</v>
      </c>
      <c r="Y69" s="602" t="s">
        <v>256</v>
      </c>
      <c r="Z69" s="602" t="str">
        <f t="shared" si="16"/>
        <v/>
      </c>
      <c r="AA69" s="603" t="s">
        <v>257</v>
      </c>
      <c r="AB69" s="604" t="str">
        <f t="shared" si="28"/>
        <v/>
      </c>
      <c r="AC69" s="605" t="str">
        <f>IFERROR(ROUNDDOWN(ROUNDDOWN(ROUND(L69*VLOOKUP(K69,【参考】数式用!$A$4:$F$57,MATCH("処遇改善加算Ⅳ",【参考】数式用!$C$3:$F$3,0)+2,0),0)*M69,0)*Z69*0.5,0), "")</f>
        <v/>
      </c>
      <c r="AD69" s="245"/>
      <c r="AE69" s="246"/>
      <c r="AF69" s="246"/>
      <c r="AG69" s="247"/>
      <c r="AH69" s="248"/>
      <c r="AI69" s="249"/>
      <c r="AJ69" s="250"/>
      <c r="AK69" s="606" t="str">
        <f t="shared" si="4"/>
        <v/>
      </c>
      <c r="AL69" s="607" t="str">
        <f t="shared" si="30"/>
        <v/>
      </c>
      <c r="AM69" s="608"/>
      <c r="AN69" s="609" t="str">
        <f>IFERROR(VLOOKUP(K69,【参考】数式用!$A$2:$N$57,14,FALSE),"")</f>
        <v/>
      </c>
      <c r="AO69" s="609" t="str">
        <f t="shared" si="5"/>
        <v/>
      </c>
      <c r="AP69" s="610" t="str">
        <f t="shared" si="6"/>
        <v/>
      </c>
      <c r="AQ69" s="611" t="str">
        <f t="shared" si="7"/>
        <v>入力済</v>
      </c>
      <c r="AR69" s="609" t="str">
        <f t="shared" si="8"/>
        <v/>
      </c>
      <c r="AS69" s="611" t="str">
        <f t="shared" si="9"/>
        <v>入力済</v>
      </c>
      <c r="AT69" s="611" t="str">
        <f t="shared" si="10"/>
        <v/>
      </c>
      <c r="AU69" s="611" t="str">
        <f t="shared" si="29"/>
        <v/>
      </c>
      <c r="AV69" s="609" t="str">
        <f t="shared" si="12"/>
        <v/>
      </c>
      <c r="AW69" s="609" t="str">
        <f t="shared" si="13"/>
        <v>入力済</v>
      </c>
      <c r="AX69" s="611" t="str">
        <f>IFERROR(VLOOKUP(K69,【参考】数式用!$AR$3:$AS$49,2, FALSE), "")</f>
        <v/>
      </c>
      <c r="AY69" s="609" t="str">
        <f t="shared" si="14"/>
        <v/>
      </c>
      <c r="AZ69" s="612" t="str">
        <f t="shared" si="15"/>
        <v>入力済</v>
      </c>
      <c r="BA69" s="611" t="str">
        <f>IFERROR(VLOOKUP(K69,【参考】数式用!$AX$3:$AY$59, 2, FALSE), "")</f>
        <v/>
      </c>
      <c r="BB69" s="609" t="str">
        <f t="shared" si="31"/>
        <v/>
      </c>
      <c r="BC69" s="612" t="str">
        <f t="shared" si="32"/>
        <v>入力済</v>
      </c>
      <c r="BD69" s="613" t="str">
        <f t="shared" si="17"/>
        <v/>
      </c>
      <c r="BE69" s="613" t="str">
        <f t="shared" si="33"/>
        <v/>
      </c>
    </row>
    <row r="70" spans="1:57" ht="109.9" customHeight="1" thickBot="1">
      <c r="A70" s="599">
        <v>59</v>
      </c>
      <c r="B70" s="913" t="str">
        <f>IF(基本情報入力シート!B98="","",基本情報入力シート!B98)</f>
        <v/>
      </c>
      <c r="C70" s="914"/>
      <c r="D70" s="914"/>
      <c r="E70" s="914"/>
      <c r="F70" s="915"/>
      <c r="G70" s="600" t="str">
        <f>IF(基本情報入力シート!L98="", "", 基本情報入力シート!L98)</f>
        <v/>
      </c>
      <c r="H70" s="600" t="str">
        <f>IF(基本情報入力シート!Q98="", "", 基本情報入力シート!Q98)</f>
        <v/>
      </c>
      <c r="I70" s="600" t="str">
        <f>IF(基本情報入力シート!V98="", "", 基本情報入力シート!V98)</f>
        <v/>
      </c>
      <c r="J70" s="600" t="str">
        <f>IF(基本情報入力シート!W98="", "", 基本情報入力シート!W98)</f>
        <v/>
      </c>
      <c r="K70" s="600"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01" t="s">
        <v>170</v>
      </c>
      <c r="Q70" s="225"/>
      <c r="R70" s="602" t="s">
        <v>253</v>
      </c>
      <c r="S70" s="225"/>
      <c r="T70" s="602" t="s">
        <v>254</v>
      </c>
      <c r="U70" s="225"/>
      <c r="V70" s="602" t="s">
        <v>253</v>
      </c>
      <c r="W70" s="225"/>
      <c r="X70" s="602" t="s">
        <v>172</v>
      </c>
      <c r="Y70" s="602" t="s">
        <v>256</v>
      </c>
      <c r="Z70" s="602" t="str">
        <f t="shared" si="16"/>
        <v/>
      </c>
      <c r="AA70" s="603" t="s">
        <v>257</v>
      </c>
      <c r="AB70" s="604" t="str">
        <f t="shared" si="28"/>
        <v/>
      </c>
      <c r="AC70" s="605" t="str">
        <f>IFERROR(ROUNDDOWN(ROUNDDOWN(ROUND(L70*VLOOKUP(K70,【参考】数式用!$A$4:$F$57,MATCH("処遇改善加算Ⅳ",【参考】数式用!$C$3:$F$3,0)+2,0),0)*M70,0)*Z70*0.5,0), "")</f>
        <v/>
      </c>
      <c r="AD70" s="245"/>
      <c r="AE70" s="246"/>
      <c r="AF70" s="246"/>
      <c r="AG70" s="247"/>
      <c r="AH70" s="248"/>
      <c r="AI70" s="249"/>
      <c r="AJ70" s="250"/>
      <c r="AK70" s="606" t="str">
        <f t="shared" si="4"/>
        <v/>
      </c>
      <c r="AL70" s="607" t="str">
        <f t="shared" si="30"/>
        <v/>
      </c>
      <c r="AM70" s="608"/>
      <c r="AN70" s="609" t="str">
        <f>IFERROR(VLOOKUP(K70,【参考】数式用!$A$2:$N$57,14,FALSE),"")</f>
        <v/>
      </c>
      <c r="AO70" s="609" t="str">
        <f t="shared" si="5"/>
        <v/>
      </c>
      <c r="AP70" s="610" t="str">
        <f t="shared" si="6"/>
        <v/>
      </c>
      <c r="AQ70" s="611" t="str">
        <f t="shared" si="7"/>
        <v>入力済</v>
      </c>
      <c r="AR70" s="609" t="str">
        <f t="shared" si="8"/>
        <v/>
      </c>
      <c r="AS70" s="611" t="str">
        <f t="shared" si="9"/>
        <v>入力済</v>
      </c>
      <c r="AT70" s="611" t="str">
        <f t="shared" si="10"/>
        <v/>
      </c>
      <c r="AU70" s="611" t="str">
        <f t="shared" si="29"/>
        <v/>
      </c>
      <c r="AV70" s="609" t="str">
        <f t="shared" si="12"/>
        <v/>
      </c>
      <c r="AW70" s="609" t="str">
        <f t="shared" si="13"/>
        <v>入力済</v>
      </c>
      <c r="AX70" s="611" t="str">
        <f>IFERROR(VLOOKUP(K70,【参考】数式用!$AR$3:$AS$49,2, FALSE), "")</f>
        <v/>
      </c>
      <c r="AY70" s="609" t="str">
        <f t="shared" si="14"/>
        <v/>
      </c>
      <c r="AZ70" s="612" t="str">
        <f t="shared" si="15"/>
        <v>入力済</v>
      </c>
      <c r="BA70" s="611" t="str">
        <f>IFERROR(VLOOKUP(K70,【参考】数式用!$AX$3:$AY$59, 2, FALSE), "")</f>
        <v/>
      </c>
      <c r="BB70" s="609" t="str">
        <f t="shared" si="31"/>
        <v/>
      </c>
      <c r="BC70" s="612" t="str">
        <f t="shared" si="32"/>
        <v>入力済</v>
      </c>
      <c r="BD70" s="613" t="str">
        <f t="shared" si="17"/>
        <v/>
      </c>
      <c r="BE70" s="613" t="str">
        <f t="shared" si="33"/>
        <v/>
      </c>
    </row>
    <row r="71" spans="1:57" ht="109.9" customHeight="1" thickBot="1">
      <c r="A71" s="599">
        <v>60</v>
      </c>
      <c r="B71" s="913" t="str">
        <f>IF(基本情報入力シート!B99="","",基本情報入力シート!B99)</f>
        <v/>
      </c>
      <c r="C71" s="914"/>
      <c r="D71" s="914"/>
      <c r="E71" s="914"/>
      <c r="F71" s="915"/>
      <c r="G71" s="600" t="str">
        <f>IF(基本情報入力シート!L99="", "", 基本情報入力シート!L99)</f>
        <v/>
      </c>
      <c r="H71" s="600" t="str">
        <f>IF(基本情報入力シート!Q99="", "", 基本情報入力シート!Q99)</f>
        <v/>
      </c>
      <c r="I71" s="600" t="str">
        <f>IF(基本情報入力シート!V99="", "", 基本情報入力シート!V99)</f>
        <v/>
      </c>
      <c r="J71" s="600" t="str">
        <f>IF(基本情報入力シート!W99="", "", 基本情報入力シート!W99)</f>
        <v/>
      </c>
      <c r="K71" s="600"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01" t="s">
        <v>170</v>
      </c>
      <c r="Q71" s="225"/>
      <c r="R71" s="602" t="s">
        <v>253</v>
      </c>
      <c r="S71" s="225"/>
      <c r="T71" s="602" t="s">
        <v>254</v>
      </c>
      <c r="U71" s="225"/>
      <c r="V71" s="602" t="s">
        <v>253</v>
      </c>
      <c r="W71" s="225"/>
      <c r="X71" s="602" t="s">
        <v>172</v>
      </c>
      <c r="Y71" s="602" t="s">
        <v>256</v>
      </c>
      <c r="Z71" s="602" t="str">
        <f t="shared" si="16"/>
        <v/>
      </c>
      <c r="AA71" s="603" t="s">
        <v>257</v>
      </c>
      <c r="AB71" s="604" t="str">
        <f t="shared" si="28"/>
        <v/>
      </c>
      <c r="AC71" s="605" t="str">
        <f>IFERROR(ROUNDDOWN(ROUNDDOWN(ROUND(L71*VLOOKUP(K71,【参考】数式用!$A$4:$F$57,MATCH("処遇改善加算Ⅳ",【参考】数式用!$C$3:$F$3,0)+2,0),0)*M71,0)*Z71*0.5,0), "")</f>
        <v/>
      </c>
      <c r="AD71" s="245"/>
      <c r="AE71" s="246"/>
      <c r="AF71" s="246"/>
      <c r="AG71" s="247"/>
      <c r="AH71" s="248"/>
      <c r="AI71" s="249"/>
      <c r="AJ71" s="250"/>
      <c r="AK71" s="606" t="str">
        <f t="shared" si="4"/>
        <v/>
      </c>
      <c r="AL71" s="607" t="str">
        <f t="shared" si="30"/>
        <v/>
      </c>
      <c r="AM71" s="608"/>
      <c r="AN71" s="609" t="str">
        <f>IFERROR(VLOOKUP(K71,【参考】数式用!$A$2:$N$57,14,FALSE),"")</f>
        <v/>
      </c>
      <c r="AO71" s="609" t="str">
        <f t="shared" si="5"/>
        <v/>
      </c>
      <c r="AP71" s="610" t="str">
        <f t="shared" si="6"/>
        <v/>
      </c>
      <c r="AQ71" s="611" t="str">
        <f t="shared" si="7"/>
        <v>入力済</v>
      </c>
      <c r="AR71" s="609" t="str">
        <f t="shared" si="8"/>
        <v/>
      </c>
      <c r="AS71" s="611" t="str">
        <f t="shared" si="9"/>
        <v>入力済</v>
      </c>
      <c r="AT71" s="611" t="str">
        <f t="shared" si="10"/>
        <v/>
      </c>
      <c r="AU71" s="611" t="str">
        <f t="shared" si="29"/>
        <v/>
      </c>
      <c r="AV71" s="609" t="str">
        <f t="shared" si="12"/>
        <v/>
      </c>
      <c r="AW71" s="609" t="str">
        <f t="shared" si="13"/>
        <v>入力済</v>
      </c>
      <c r="AX71" s="611" t="str">
        <f>IFERROR(VLOOKUP(K71,【参考】数式用!$AR$3:$AS$49,2, FALSE), "")</f>
        <v/>
      </c>
      <c r="AY71" s="609" t="str">
        <f t="shared" si="14"/>
        <v/>
      </c>
      <c r="AZ71" s="612" t="str">
        <f t="shared" si="15"/>
        <v>入力済</v>
      </c>
      <c r="BA71" s="611" t="str">
        <f>IFERROR(VLOOKUP(K71,【参考】数式用!$AX$3:$AY$59, 2, FALSE), "")</f>
        <v/>
      </c>
      <c r="BB71" s="609" t="str">
        <f t="shared" si="31"/>
        <v/>
      </c>
      <c r="BC71" s="612" t="str">
        <f t="shared" si="32"/>
        <v>入力済</v>
      </c>
      <c r="BD71" s="613" t="str">
        <f t="shared" si="17"/>
        <v/>
      </c>
      <c r="BE71" s="613" t="str">
        <f t="shared" si="33"/>
        <v/>
      </c>
    </row>
    <row r="72" spans="1:57" ht="109.9" customHeight="1" thickBot="1">
      <c r="A72" s="599">
        <v>61</v>
      </c>
      <c r="B72" s="913" t="str">
        <f>IF(基本情報入力シート!B100="","",基本情報入力シート!B100)</f>
        <v/>
      </c>
      <c r="C72" s="914"/>
      <c r="D72" s="914"/>
      <c r="E72" s="914"/>
      <c r="F72" s="915"/>
      <c r="G72" s="600" t="str">
        <f>IF(基本情報入力シート!L100="", "", 基本情報入力シート!L100)</f>
        <v/>
      </c>
      <c r="H72" s="600" t="str">
        <f>IF(基本情報入力シート!Q100="", "", 基本情報入力シート!Q100)</f>
        <v/>
      </c>
      <c r="I72" s="600" t="str">
        <f>IF(基本情報入力シート!V100="", "", 基本情報入力シート!V100)</f>
        <v/>
      </c>
      <c r="J72" s="600" t="str">
        <f>IF(基本情報入力シート!W100="", "", 基本情報入力シート!W100)</f>
        <v/>
      </c>
      <c r="K72" s="600"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01" t="s">
        <v>170</v>
      </c>
      <c r="Q72" s="225"/>
      <c r="R72" s="602" t="s">
        <v>253</v>
      </c>
      <c r="S72" s="225"/>
      <c r="T72" s="602" t="s">
        <v>254</v>
      </c>
      <c r="U72" s="225"/>
      <c r="V72" s="602" t="s">
        <v>253</v>
      </c>
      <c r="W72" s="225"/>
      <c r="X72" s="602" t="s">
        <v>255</v>
      </c>
      <c r="Y72" s="602" t="s">
        <v>256</v>
      </c>
      <c r="Z72" s="602" t="str">
        <f t="shared" si="16"/>
        <v/>
      </c>
      <c r="AA72" s="603" t="s">
        <v>257</v>
      </c>
      <c r="AB72" s="604" t="str">
        <f t="shared" si="28"/>
        <v/>
      </c>
      <c r="AC72" s="605" t="str">
        <f>IFERROR(ROUNDDOWN(ROUNDDOWN(ROUND(L72*VLOOKUP(K72,【参考】数式用!$A$4:$F$57,MATCH("処遇改善加算Ⅳ",【参考】数式用!$C$3:$F$3,0)+2,0),0)*M72,0)*Z72*0.5,0), "")</f>
        <v/>
      </c>
      <c r="AD72" s="245"/>
      <c r="AE72" s="246"/>
      <c r="AF72" s="246"/>
      <c r="AG72" s="247"/>
      <c r="AH72" s="248"/>
      <c r="AI72" s="249"/>
      <c r="AJ72" s="250"/>
      <c r="AK72" s="606" t="str">
        <f t="shared" si="4"/>
        <v/>
      </c>
      <c r="AL72" s="607" t="str">
        <f t="shared" si="30"/>
        <v/>
      </c>
      <c r="AM72" s="608"/>
      <c r="AN72" s="609" t="str">
        <f>IFERROR(VLOOKUP(K72,【参考】数式用!$A$2:$N$57,14,FALSE),"")</f>
        <v/>
      </c>
      <c r="AO72" s="609" t="str">
        <f t="shared" si="5"/>
        <v/>
      </c>
      <c r="AP72" s="610" t="str">
        <f t="shared" si="6"/>
        <v/>
      </c>
      <c r="AQ72" s="611" t="str">
        <f t="shared" si="7"/>
        <v>入力済</v>
      </c>
      <c r="AR72" s="609" t="str">
        <f t="shared" si="8"/>
        <v/>
      </c>
      <c r="AS72" s="611" t="str">
        <f t="shared" si="9"/>
        <v>入力済</v>
      </c>
      <c r="AT72" s="611" t="str">
        <f t="shared" si="10"/>
        <v/>
      </c>
      <c r="AU72" s="611" t="str">
        <f t="shared" si="29"/>
        <v/>
      </c>
      <c r="AV72" s="609" t="str">
        <f t="shared" si="12"/>
        <v/>
      </c>
      <c r="AW72" s="609" t="str">
        <f t="shared" si="13"/>
        <v>入力済</v>
      </c>
      <c r="AX72" s="611" t="str">
        <f>IFERROR(VLOOKUP(K72,【参考】数式用!$AR$3:$AS$49,2, FALSE), "")</f>
        <v/>
      </c>
      <c r="AY72" s="609" t="str">
        <f t="shared" si="14"/>
        <v/>
      </c>
      <c r="AZ72" s="612" t="str">
        <f t="shared" si="15"/>
        <v>入力済</v>
      </c>
      <c r="BA72" s="611" t="str">
        <f>IFERROR(VLOOKUP(K72,【参考】数式用!$AX$3:$AY$59, 2, FALSE), "")</f>
        <v/>
      </c>
      <c r="BB72" s="609" t="str">
        <f t="shared" si="31"/>
        <v/>
      </c>
      <c r="BC72" s="612" t="str">
        <f t="shared" si="32"/>
        <v>入力済</v>
      </c>
      <c r="BD72" s="613" t="str">
        <f t="shared" si="17"/>
        <v/>
      </c>
      <c r="BE72" s="613" t="str">
        <f t="shared" si="33"/>
        <v/>
      </c>
    </row>
    <row r="73" spans="1:57" ht="109.9" customHeight="1" thickBot="1">
      <c r="A73" s="599">
        <v>62</v>
      </c>
      <c r="B73" s="913" t="str">
        <f>IF(基本情報入力シート!B101="","",基本情報入力シート!B101)</f>
        <v/>
      </c>
      <c r="C73" s="914"/>
      <c r="D73" s="914"/>
      <c r="E73" s="914"/>
      <c r="F73" s="915"/>
      <c r="G73" s="600" t="str">
        <f>IF(基本情報入力シート!L101="", "", 基本情報入力シート!L101)</f>
        <v/>
      </c>
      <c r="H73" s="600" t="str">
        <f>IF(基本情報入力シート!Q101="", "", 基本情報入力シート!Q101)</f>
        <v/>
      </c>
      <c r="I73" s="600" t="str">
        <f>IF(基本情報入力シート!V101="", "", 基本情報入力シート!V101)</f>
        <v/>
      </c>
      <c r="J73" s="600" t="str">
        <f>IF(基本情報入力シート!W101="", "", 基本情報入力シート!W101)</f>
        <v/>
      </c>
      <c r="K73" s="600"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01" t="s">
        <v>170</v>
      </c>
      <c r="Q73" s="225"/>
      <c r="R73" s="602" t="s">
        <v>253</v>
      </c>
      <c r="S73" s="225"/>
      <c r="T73" s="602" t="s">
        <v>254</v>
      </c>
      <c r="U73" s="225"/>
      <c r="V73" s="602" t="s">
        <v>253</v>
      </c>
      <c r="W73" s="225"/>
      <c r="X73" s="602" t="s">
        <v>255</v>
      </c>
      <c r="Y73" s="602" t="s">
        <v>256</v>
      </c>
      <c r="Z73" s="602" t="str">
        <f t="shared" si="16"/>
        <v/>
      </c>
      <c r="AA73" s="603" t="s">
        <v>257</v>
      </c>
      <c r="AB73" s="604" t="str">
        <f t="shared" si="28"/>
        <v/>
      </c>
      <c r="AC73" s="605" t="str">
        <f>IFERROR(ROUNDDOWN(ROUNDDOWN(ROUND(L73*VLOOKUP(K73,【参考】数式用!$A$4:$F$57,MATCH("処遇改善加算Ⅳ",【参考】数式用!$C$3:$F$3,0)+2,0),0)*M73,0)*Z73*0.5,0), "")</f>
        <v/>
      </c>
      <c r="AD73" s="245"/>
      <c r="AE73" s="246"/>
      <c r="AF73" s="246"/>
      <c r="AG73" s="247"/>
      <c r="AH73" s="248"/>
      <c r="AI73" s="249"/>
      <c r="AJ73" s="250"/>
      <c r="AK73" s="606" t="str">
        <f t="shared" si="4"/>
        <v/>
      </c>
      <c r="AL73" s="607" t="str">
        <f t="shared" si="30"/>
        <v/>
      </c>
      <c r="AM73" s="608"/>
      <c r="AN73" s="609" t="str">
        <f>IFERROR(VLOOKUP(K73,【参考】数式用!$A$2:$N$57,14,FALSE),"")</f>
        <v/>
      </c>
      <c r="AO73" s="609" t="str">
        <f t="shared" si="5"/>
        <v/>
      </c>
      <c r="AP73" s="610" t="str">
        <f t="shared" si="6"/>
        <v/>
      </c>
      <c r="AQ73" s="611" t="str">
        <f t="shared" si="7"/>
        <v>入力済</v>
      </c>
      <c r="AR73" s="609" t="str">
        <f t="shared" si="8"/>
        <v/>
      </c>
      <c r="AS73" s="611" t="str">
        <f t="shared" si="9"/>
        <v>入力済</v>
      </c>
      <c r="AT73" s="611" t="str">
        <f t="shared" si="10"/>
        <v/>
      </c>
      <c r="AU73" s="611" t="str">
        <f t="shared" si="29"/>
        <v/>
      </c>
      <c r="AV73" s="609" t="str">
        <f t="shared" si="12"/>
        <v/>
      </c>
      <c r="AW73" s="609" t="str">
        <f t="shared" si="13"/>
        <v>入力済</v>
      </c>
      <c r="AX73" s="611" t="str">
        <f>IFERROR(VLOOKUP(K73,【参考】数式用!$AR$3:$AS$49,2, FALSE), "")</f>
        <v/>
      </c>
      <c r="AY73" s="609" t="str">
        <f t="shared" si="14"/>
        <v/>
      </c>
      <c r="AZ73" s="612" t="str">
        <f t="shared" si="15"/>
        <v>入力済</v>
      </c>
      <c r="BA73" s="611" t="str">
        <f>IFERROR(VLOOKUP(K73,【参考】数式用!$AX$3:$AY$59, 2, FALSE), "")</f>
        <v/>
      </c>
      <c r="BB73" s="609" t="str">
        <f t="shared" si="31"/>
        <v/>
      </c>
      <c r="BC73" s="612" t="str">
        <f t="shared" si="32"/>
        <v>入力済</v>
      </c>
      <c r="BD73" s="613" t="str">
        <f t="shared" si="17"/>
        <v/>
      </c>
      <c r="BE73" s="613" t="str">
        <f t="shared" si="33"/>
        <v/>
      </c>
    </row>
    <row r="74" spans="1:57" ht="109.9" customHeight="1" thickBot="1">
      <c r="A74" s="599">
        <v>63</v>
      </c>
      <c r="B74" s="913" t="str">
        <f>IF(基本情報入力シート!B102="","",基本情報入力シート!B102)</f>
        <v/>
      </c>
      <c r="C74" s="914"/>
      <c r="D74" s="914"/>
      <c r="E74" s="914"/>
      <c r="F74" s="915"/>
      <c r="G74" s="600" t="str">
        <f>IF(基本情報入力シート!L102="", "", 基本情報入力シート!L102)</f>
        <v/>
      </c>
      <c r="H74" s="600" t="str">
        <f>IF(基本情報入力シート!Q102="", "", 基本情報入力シート!Q102)</f>
        <v/>
      </c>
      <c r="I74" s="600" t="str">
        <f>IF(基本情報入力シート!V102="", "", 基本情報入力シート!V102)</f>
        <v/>
      </c>
      <c r="J74" s="600" t="str">
        <f>IF(基本情報入力シート!W102="", "", 基本情報入力シート!W102)</f>
        <v/>
      </c>
      <c r="K74" s="600"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01" t="s">
        <v>170</v>
      </c>
      <c r="Q74" s="225"/>
      <c r="R74" s="602" t="s">
        <v>253</v>
      </c>
      <c r="S74" s="225"/>
      <c r="T74" s="602" t="s">
        <v>254</v>
      </c>
      <c r="U74" s="225"/>
      <c r="V74" s="602" t="s">
        <v>253</v>
      </c>
      <c r="W74" s="225"/>
      <c r="X74" s="602" t="s">
        <v>255</v>
      </c>
      <c r="Y74" s="602" t="s">
        <v>256</v>
      </c>
      <c r="Z74" s="602" t="str">
        <f t="shared" si="16"/>
        <v/>
      </c>
      <c r="AA74" s="603" t="s">
        <v>257</v>
      </c>
      <c r="AB74" s="604" t="str">
        <f t="shared" si="28"/>
        <v/>
      </c>
      <c r="AC74" s="605" t="str">
        <f>IFERROR(ROUNDDOWN(ROUNDDOWN(ROUND(L74*VLOOKUP(K74,【参考】数式用!$A$4:$F$57,MATCH("処遇改善加算Ⅳ",【参考】数式用!$C$3:$F$3,0)+2,0),0)*M74,0)*Z74*0.5,0), "")</f>
        <v/>
      </c>
      <c r="AD74" s="245"/>
      <c r="AE74" s="246"/>
      <c r="AF74" s="246"/>
      <c r="AG74" s="247"/>
      <c r="AH74" s="248"/>
      <c r="AI74" s="249"/>
      <c r="AJ74" s="250"/>
      <c r="AK74" s="606" t="str">
        <f t="shared" si="4"/>
        <v/>
      </c>
      <c r="AL74" s="607" t="str">
        <f t="shared" si="30"/>
        <v/>
      </c>
      <c r="AM74" s="608"/>
      <c r="AN74" s="609" t="str">
        <f>IFERROR(VLOOKUP(K74,【参考】数式用!$A$2:$N$57,14,FALSE),"")</f>
        <v/>
      </c>
      <c r="AO74" s="609" t="str">
        <f t="shared" si="5"/>
        <v/>
      </c>
      <c r="AP74" s="610" t="str">
        <f t="shared" si="6"/>
        <v/>
      </c>
      <c r="AQ74" s="611" t="str">
        <f t="shared" si="7"/>
        <v>入力済</v>
      </c>
      <c r="AR74" s="609" t="str">
        <f t="shared" si="8"/>
        <v/>
      </c>
      <c r="AS74" s="611" t="str">
        <f t="shared" si="9"/>
        <v>入力済</v>
      </c>
      <c r="AT74" s="611" t="str">
        <f t="shared" si="10"/>
        <v/>
      </c>
      <c r="AU74" s="611" t="str">
        <f t="shared" si="29"/>
        <v/>
      </c>
      <c r="AV74" s="609" t="str">
        <f t="shared" si="12"/>
        <v/>
      </c>
      <c r="AW74" s="609" t="str">
        <f t="shared" si="13"/>
        <v>入力済</v>
      </c>
      <c r="AX74" s="611" t="str">
        <f>IFERROR(VLOOKUP(K74,【参考】数式用!$AR$3:$AS$49,2, FALSE), "")</f>
        <v/>
      </c>
      <c r="AY74" s="609" t="str">
        <f t="shared" si="14"/>
        <v/>
      </c>
      <c r="AZ74" s="612" t="str">
        <f t="shared" si="15"/>
        <v>入力済</v>
      </c>
      <c r="BA74" s="611" t="str">
        <f>IFERROR(VLOOKUP(K74,【参考】数式用!$AX$3:$AY$59, 2, FALSE), "")</f>
        <v/>
      </c>
      <c r="BB74" s="609" t="str">
        <f t="shared" si="31"/>
        <v/>
      </c>
      <c r="BC74" s="612" t="str">
        <f t="shared" si="32"/>
        <v>入力済</v>
      </c>
      <c r="BD74" s="613" t="str">
        <f t="shared" si="17"/>
        <v/>
      </c>
      <c r="BE74" s="613" t="str">
        <f t="shared" si="33"/>
        <v/>
      </c>
    </row>
    <row r="75" spans="1:57" ht="109.9" customHeight="1" thickBot="1">
      <c r="A75" s="599">
        <v>64</v>
      </c>
      <c r="B75" s="913" t="str">
        <f>IF(基本情報入力シート!B103="","",基本情報入力シート!B103)</f>
        <v/>
      </c>
      <c r="C75" s="914"/>
      <c r="D75" s="914"/>
      <c r="E75" s="914"/>
      <c r="F75" s="915"/>
      <c r="G75" s="600" t="str">
        <f>IF(基本情報入力シート!L103="", "", 基本情報入力シート!L103)</f>
        <v/>
      </c>
      <c r="H75" s="600" t="str">
        <f>IF(基本情報入力シート!Q103="", "", 基本情報入力シート!Q103)</f>
        <v/>
      </c>
      <c r="I75" s="600" t="str">
        <f>IF(基本情報入力シート!V103="", "", 基本情報入力シート!V103)</f>
        <v/>
      </c>
      <c r="J75" s="600" t="str">
        <f>IF(基本情報入力シート!W103="", "", 基本情報入力シート!W103)</f>
        <v/>
      </c>
      <c r="K75" s="600"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01" t="s">
        <v>170</v>
      </c>
      <c r="Q75" s="225"/>
      <c r="R75" s="602" t="s">
        <v>253</v>
      </c>
      <c r="S75" s="225"/>
      <c r="T75" s="602" t="s">
        <v>254</v>
      </c>
      <c r="U75" s="225"/>
      <c r="V75" s="602" t="s">
        <v>253</v>
      </c>
      <c r="W75" s="225"/>
      <c r="X75" s="602" t="s">
        <v>172</v>
      </c>
      <c r="Y75" s="602" t="s">
        <v>256</v>
      </c>
      <c r="Z75" s="602" t="str">
        <f t="shared" si="16"/>
        <v/>
      </c>
      <c r="AA75" s="603" t="s">
        <v>257</v>
      </c>
      <c r="AB75" s="604" t="str">
        <f t="shared" si="28"/>
        <v/>
      </c>
      <c r="AC75" s="605" t="str">
        <f>IFERROR(ROUNDDOWN(ROUNDDOWN(ROUND(L75*VLOOKUP(K75,【参考】数式用!$A$4:$F$57,MATCH("処遇改善加算Ⅳ",【参考】数式用!$C$3:$F$3,0)+2,0),0)*M75,0)*Z75*0.5,0), "")</f>
        <v/>
      </c>
      <c r="AD75" s="245"/>
      <c r="AE75" s="246"/>
      <c r="AF75" s="246"/>
      <c r="AG75" s="247"/>
      <c r="AH75" s="248"/>
      <c r="AI75" s="249"/>
      <c r="AJ75" s="250"/>
      <c r="AK75" s="606" t="str">
        <f t="shared" si="4"/>
        <v/>
      </c>
      <c r="AL75" s="607" t="str">
        <f t="shared" si="30"/>
        <v/>
      </c>
      <c r="AM75" s="608"/>
      <c r="AN75" s="609" t="str">
        <f>IFERROR(VLOOKUP(K75,【参考】数式用!$A$2:$N$57,14,FALSE),"")</f>
        <v/>
      </c>
      <c r="AO75" s="609" t="str">
        <f t="shared" si="5"/>
        <v/>
      </c>
      <c r="AP75" s="610" t="str">
        <f t="shared" si="6"/>
        <v/>
      </c>
      <c r="AQ75" s="611" t="str">
        <f t="shared" si="7"/>
        <v>入力済</v>
      </c>
      <c r="AR75" s="609" t="str">
        <f t="shared" si="8"/>
        <v/>
      </c>
      <c r="AS75" s="611" t="str">
        <f t="shared" si="9"/>
        <v>入力済</v>
      </c>
      <c r="AT75" s="611" t="str">
        <f t="shared" si="10"/>
        <v/>
      </c>
      <c r="AU75" s="611" t="str">
        <f t="shared" si="29"/>
        <v/>
      </c>
      <c r="AV75" s="609" t="str">
        <f t="shared" si="12"/>
        <v/>
      </c>
      <c r="AW75" s="609" t="str">
        <f t="shared" si="13"/>
        <v>入力済</v>
      </c>
      <c r="AX75" s="611" t="str">
        <f>IFERROR(VLOOKUP(K75,【参考】数式用!$AR$3:$AS$49,2, FALSE), "")</f>
        <v/>
      </c>
      <c r="AY75" s="609" t="str">
        <f t="shared" si="14"/>
        <v/>
      </c>
      <c r="AZ75" s="612" t="str">
        <f t="shared" si="15"/>
        <v>入力済</v>
      </c>
      <c r="BA75" s="611" t="str">
        <f>IFERROR(VLOOKUP(K75,【参考】数式用!$AX$3:$AY$59, 2, FALSE), "")</f>
        <v/>
      </c>
      <c r="BB75" s="609" t="str">
        <f t="shared" si="31"/>
        <v/>
      </c>
      <c r="BC75" s="612" t="str">
        <f t="shared" si="32"/>
        <v>入力済</v>
      </c>
      <c r="BD75" s="613" t="str">
        <f t="shared" si="17"/>
        <v/>
      </c>
      <c r="BE75" s="613" t="str">
        <f t="shared" si="33"/>
        <v/>
      </c>
    </row>
    <row r="76" spans="1:57" ht="109.9" customHeight="1" thickBot="1">
      <c r="A76" s="599">
        <v>65</v>
      </c>
      <c r="B76" s="913" t="str">
        <f>IF(基本情報入力シート!B104="","",基本情報入力シート!B104)</f>
        <v/>
      </c>
      <c r="C76" s="914"/>
      <c r="D76" s="914"/>
      <c r="E76" s="914"/>
      <c r="F76" s="915"/>
      <c r="G76" s="600" t="str">
        <f>IF(基本情報入力シート!L104="", "", 基本情報入力シート!L104)</f>
        <v/>
      </c>
      <c r="H76" s="600" t="str">
        <f>IF(基本情報入力シート!Q104="", "", 基本情報入力シート!Q104)</f>
        <v/>
      </c>
      <c r="I76" s="600" t="str">
        <f>IF(基本情報入力シート!V104="", "", 基本情報入力シート!V104)</f>
        <v/>
      </c>
      <c r="J76" s="600" t="str">
        <f>IF(基本情報入力シート!W104="", "", 基本情報入力シート!W104)</f>
        <v/>
      </c>
      <c r="K76" s="600"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01" t="s">
        <v>170</v>
      </c>
      <c r="Q76" s="225"/>
      <c r="R76" s="602" t="s">
        <v>253</v>
      </c>
      <c r="S76" s="225"/>
      <c r="T76" s="602" t="s">
        <v>254</v>
      </c>
      <c r="U76" s="225"/>
      <c r="V76" s="602" t="s">
        <v>253</v>
      </c>
      <c r="W76" s="225"/>
      <c r="X76" s="602" t="s">
        <v>255</v>
      </c>
      <c r="Y76" s="602" t="s">
        <v>256</v>
      </c>
      <c r="Z76" s="602" t="str">
        <f t="shared" si="16"/>
        <v/>
      </c>
      <c r="AA76" s="603" t="s">
        <v>257</v>
      </c>
      <c r="AB76" s="604" t="str">
        <f t="shared" si="28"/>
        <v/>
      </c>
      <c r="AC76" s="605" t="str">
        <f>IFERROR(ROUNDDOWN(ROUNDDOWN(ROUND(L76*VLOOKUP(K76,【参考】数式用!$A$4:$F$57,MATCH("処遇改善加算Ⅳ",【参考】数式用!$C$3:$F$3,0)+2,0),0)*M76,0)*Z76*0.5,0), "")</f>
        <v/>
      </c>
      <c r="AD76" s="245"/>
      <c r="AE76" s="246"/>
      <c r="AF76" s="246"/>
      <c r="AG76" s="247"/>
      <c r="AH76" s="248"/>
      <c r="AI76" s="249"/>
      <c r="AJ76" s="250"/>
      <c r="AK76" s="606" t="str">
        <f t="shared" si="4"/>
        <v/>
      </c>
      <c r="AL76" s="607"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08"/>
      <c r="AN76" s="609" t="str">
        <f>IFERROR(VLOOKUP(K76,【参考】数式用!$A$2:$N$57,14,FALSE),"")</f>
        <v/>
      </c>
      <c r="AO76" s="609" t="str">
        <f t="shared" si="5"/>
        <v/>
      </c>
      <c r="AP76" s="610" t="str">
        <f t="shared" si="6"/>
        <v/>
      </c>
      <c r="AQ76" s="611" t="str">
        <f t="shared" si="7"/>
        <v>入力済</v>
      </c>
      <c r="AR76" s="609" t="str">
        <f t="shared" si="8"/>
        <v/>
      </c>
      <c r="AS76" s="611" t="str">
        <f t="shared" si="9"/>
        <v>入力済</v>
      </c>
      <c r="AT76" s="611" t="str">
        <f t="shared" si="10"/>
        <v/>
      </c>
      <c r="AU76" s="611" t="str">
        <f t="shared" si="29"/>
        <v/>
      </c>
      <c r="AV76" s="609" t="str">
        <f t="shared" si="12"/>
        <v/>
      </c>
      <c r="AW76" s="609" t="str">
        <f t="shared" si="13"/>
        <v>入力済</v>
      </c>
      <c r="AX76" s="611" t="str">
        <f>IFERROR(VLOOKUP(K76,【参考】数式用!$AR$3:$AS$49,2, FALSE), "")</f>
        <v/>
      </c>
      <c r="AY76" s="609" t="str">
        <f t="shared" si="14"/>
        <v/>
      </c>
      <c r="AZ76" s="612" t="str">
        <f t="shared" si="15"/>
        <v>入力済</v>
      </c>
      <c r="BA76" s="611" t="str">
        <f>IFERROR(VLOOKUP(K76,【参考】数式用!$AX$3:$AY$59, 2, FALSE), "")</f>
        <v/>
      </c>
      <c r="BB76" s="609" t="str">
        <f t="shared" ref="BB76:BB111" si="35">IF(COUNTIF(AE76:AH76,"*令和８年度特例要件を*")&gt;0,"AJ列に色付け","")</f>
        <v/>
      </c>
      <c r="BC76" s="612" t="str">
        <f t="shared" ref="BC76:BC111" si="36">IF(AND(COUNTIF(AE76:AH76,"*令和８年度特例要件を*")&gt;0,AJ76=""), "未入力","入力済")</f>
        <v>入力済</v>
      </c>
      <c r="BD76" s="613" t="str">
        <f t="shared" si="17"/>
        <v/>
      </c>
      <c r="BE76" s="613" t="str">
        <f t="shared" si="33"/>
        <v/>
      </c>
    </row>
    <row r="77" spans="1:57" ht="109.9" customHeight="1" thickBot="1">
      <c r="A77" s="599">
        <v>66</v>
      </c>
      <c r="B77" s="913" t="str">
        <f>IF(基本情報入力シート!B105="","",基本情報入力シート!B105)</f>
        <v/>
      </c>
      <c r="C77" s="914"/>
      <c r="D77" s="914"/>
      <c r="E77" s="914"/>
      <c r="F77" s="915"/>
      <c r="G77" s="600" t="str">
        <f>IF(基本情報入力シート!L105="", "", 基本情報入力シート!L105)</f>
        <v/>
      </c>
      <c r="H77" s="600" t="str">
        <f>IF(基本情報入力シート!Q105="", "", 基本情報入力シート!Q105)</f>
        <v/>
      </c>
      <c r="I77" s="600" t="str">
        <f>IF(基本情報入力シート!V105="", "", 基本情報入力シート!V105)</f>
        <v/>
      </c>
      <c r="J77" s="600" t="str">
        <f>IF(基本情報入力シート!W105="", "", 基本情報入力シート!W105)</f>
        <v/>
      </c>
      <c r="K77" s="600"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01" t="s">
        <v>170</v>
      </c>
      <c r="Q77" s="225"/>
      <c r="R77" s="602" t="s">
        <v>253</v>
      </c>
      <c r="S77" s="225"/>
      <c r="T77" s="602" t="s">
        <v>254</v>
      </c>
      <c r="U77" s="225"/>
      <c r="V77" s="602" t="s">
        <v>253</v>
      </c>
      <c r="W77" s="225"/>
      <c r="X77" s="602" t="s">
        <v>255</v>
      </c>
      <c r="Y77" s="602" t="s">
        <v>256</v>
      </c>
      <c r="Z77" s="602" t="str">
        <f t="shared" si="16"/>
        <v/>
      </c>
      <c r="AA77" s="603" t="s">
        <v>257</v>
      </c>
      <c r="AB77" s="604" t="str">
        <f t="shared" si="28"/>
        <v/>
      </c>
      <c r="AC77" s="605" t="str">
        <f>IFERROR(ROUNDDOWN(ROUNDDOWN(ROUND(L77*VLOOKUP(K77,【参考】数式用!$A$4:$F$57,MATCH("処遇改善加算Ⅳ",【参考】数式用!$C$3:$F$3,0)+2,0),0)*M77,0)*Z77*0.5,0), "")</f>
        <v/>
      </c>
      <c r="AD77" s="245"/>
      <c r="AE77" s="246"/>
      <c r="AF77" s="246"/>
      <c r="AG77" s="247"/>
      <c r="AH77" s="248"/>
      <c r="AI77" s="249"/>
      <c r="AJ77" s="250"/>
      <c r="AK77" s="606" t="str">
        <f t="shared" si="4"/>
        <v/>
      </c>
      <c r="AL77" s="607" t="str">
        <f t="shared" si="34"/>
        <v/>
      </c>
      <c r="AM77" s="608"/>
      <c r="AN77" s="609" t="str">
        <f>IFERROR(VLOOKUP(K77,【参考】数式用!$A$2:$N$57,14,FALSE),"")</f>
        <v/>
      </c>
      <c r="AO77" s="609" t="str">
        <f t="shared" si="5"/>
        <v/>
      </c>
      <c r="AP77" s="610" t="str">
        <f t="shared" si="6"/>
        <v/>
      </c>
      <c r="AQ77" s="611" t="str">
        <f t="shared" si="7"/>
        <v>入力済</v>
      </c>
      <c r="AR77" s="609" t="str">
        <f t="shared" si="8"/>
        <v/>
      </c>
      <c r="AS77" s="611" t="str">
        <f t="shared" si="9"/>
        <v>入力済</v>
      </c>
      <c r="AT77" s="611" t="str">
        <f t="shared" si="10"/>
        <v/>
      </c>
      <c r="AU77" s="611" t="str">
        <f t="shared" si="29"/>
        <v/>
      </c>
      <c r="AV77" s="609" t="str">
        <f t="shared" si="12"/>
        <v/>
      </c>
      <c r="AW77" s="609" t="str">
        <f t="shared" ref="AW77:AW111" si="37">IF(AND($AU77=1,$AV77="AH列に色付け",OR($AG77="",$AH77="")),"未入力",IF(AND($AU77=1,$AV77="",$AG77=""),"未入力","入力済"))</f>
        <v>入力済</v>
      </c>
      <c r="AX77" s="611" t="str">
        <f>IFERROR(VLOOKUP(K77,【参考】数式用!$AR$3:$AS$49,2, FALSE), "")</f>
        <v/>
      </c>
      <c r="AY77" s="609" t="str">
        <f t="shared" si="14"/>
        <v/>
      </c>
      <c r="AZ77" s="612" t="str">
        <f t="shared" si="15"/>
        <v>入力済</v>
      </c>
      <c r="BA77" s="611" t="str">
        <f>IFERROR(VLOOKUP(K77,【参考】数式用!$AX$3:$AY$59, 2, FALSE), "")</f>
        <v/>
      </c>
      <c r="BB77" s="609" t="str">
        <f t="shared" si="35"/>
        <v/>
      </c>
      <c r="BC77" s="612" t="str">
        <f t="shared" si="36"/>
        <v>入力済</v>
      </c>
      <c r="BD77" s="613" t="str">
        <f t="shared" si="17"/>
        <v/>
      </c>
      <c r="BE77" s="613" t="str">
        <f t="shared" si="33"/>
        <v/>
      </c>
    </row>
    <row r="78" spans="1:57" ht="109.9" customHeight="1" thickBot="1">
      <c r="A78" s="599">
        <v>67</v>
      </c>
      <c r="B78" s="913" t="str">
        <f>IF(基本情報入力シート!B106="","",基本情報入力シート!B106)</f>
        <v/>
      </c>
      <c r="C78" s="914"/>
      <c r="D78" s="914"/>
      <c r="E78" s="914"/>
      <c r="F78" s="915"/>
      <c r="G78" s="600" t="str">
        <f>IF(基本情報入力シート!L106="", "", 基本情報入力シート!L106)</f>
        <v/>
      </c>
      <c r="H78" s="600" t="str">
        <f>IF(基本情報入力シート!Q106="", "", 基本情報入力シート!Q106)</f>
        <v/>
      </c>
      <c r="I78" s="600" t="str">
        <f>IF(基本情報入力シート!V106="", "", 基本情報入力シート!V106)</f>
        <v/>
      </c>
      <c r="J78" s="600" t="str">
        <f>IF(基本情報入力シート!W106="", "", 基本情報入力シート!W106)</f>
        <v/>
      </c>
      <c r="K78" s="600"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01" t="s">
        <v>170</v>
      </c>
      <c r="Q78" s="225"/>
      <c r="R78" s="602" t="s">
        <v>253</v>
      </c>
      <c r="S78" s="225"/>
      <c r="T78" s="602" t="s">
        <v>254</v>
      </c>
      <c r="U78" s="225"/>
      <c r="V78" s="602" t="s">
        <v>253</v>
      </c>
      <c r="W78" s="225"/>
      <c r="X78" s="602" t="s">
        <v>255</v>
      </c>
      <c r="Y78" s="602" t="s">
        <v>256</v>
      </c>
      <c r="Z78" s="602" t="str">
        <f t="shared" si="16"/>
        <v/>
      </c>
      <c r="AA78" s="603" t="s">
        <v>257</v>
      </c>
      <c r="AB78" s="604" t="str">
        <f t="shared" si="28"/>
        <v/>
      </c>
      <c r="AC78" s="605" t="str">
        <f>IFERROR(ROUNDDOWN(ROUNDDOWN(ROUND(L78*VLOOKUP(K78,【参考】数式用!$A$4:$F$57,MATCH("処遇改善加算Ⅳ",【参考】数式用!$C$3:$F$3,0)+2,0),0)*M78,0)*Z78*0.5,0), "")</f>
        <v/>
      </c>
      <c r="AD78" s="245"/>
      <c r="AE78" s="246"/>
      <c r="AF78" s="246"/>
      <c r="AG78" s="247"/>
      <c r="AH78" s="248"/>
      <c r="AI78" s="249"/>
      <c r="AJ78" s="250"/>
      <c r="AK78" s="606"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07" t="str">
        <f t="shared" si="34"/>
        <v/>
      </c>
      <c r="AM78" s="608"/>
      <c r="AN78" s="609" t="str">
        <f>IFERROR(VLOOKUP(K78,【参考】数式用!$A$2:$N$57,14,FALSE),"")</f>
        <v/>
      </c>
      <c r="AO78" s="609" t="str">
        <f t="shared" ref="AO78:AO111" si="39">IF(AND(K78&lt;&gt;"",AN78="加算対象"),"N列に色付け","")</f>
        <v/>
      </c>
      <c r="AP78" s="610" t="str">
        <f t="shared" ref="AP78:AP111" si="40">IF(AND(AC78&lt;&gt;0,AC78&lt;&gt;"",AN78="加算対象"),IF(AD78="○","入力済","未入力"),"")</f>
        <v/>
      </c>
      <c r="AQ78" s="611" t="str">
        <f t="shared" ref="AQ78:AQ111" si="41">IF(AND(N78&lt;&gt;"", AE78="",AN78="加算対象"), "未入力", "入力済")</f>
        <v>入力済</v>
      </c>
      <c r="AR78" s="609" t="str">
        <f t="shared" ref="AR78:AR111" si="42">IF(AND(N78&lt;&gt;"", N78&lt;&gt;"処遇改善加算Ⅳ",AN78="加算対象"),"AF列に色付け","")</f>
        <v/>
      </c>
      <c r="AS78" s="611" t="str">
        <f t="shared" ref="AS78:AS111" si="43">IF(AND(N78&lt;&gt;"", N78&lt;&gt;"処遇改善加算Ⅳ", AF78=""), "未入力", "入力済")</f>
        <v>入力済</v>
      </c>
      <c r="AT78" s="611" t="str">
        <f t="shared" ref="AT78:AT111" si="44">IF(OR(N78="処遇改善加算Ⅰ",N78="処遇改善加算Ⅱ"),"対象","")</f>
        <v/>
      </c>
      <c r="AU78" s="611" t="str">
        <f t="shared" ref="AU78:AU111" si="45">IF(AND(AN78="加算対象",N78&lt;&gt;"処遇改善加算Ⅲ",N78&lt;&gt;"処遇改善加算Ⅳ", N78&lt;&gt;"", AT78&lt;&gt;"対象外"), 1,"")</f>
        <v/>
      </c>
      <c r="AV78" s="609" t="str">
        <f t="shared" ref="AV78:AV111" si="46">IF(AND(AU78=1, OR(AG78=0,AG78=""),AN78="加算対象"),"AH列に色付け","")</f>
        <v/>
      </c>
      <c r="AW78" s="609" t="str">
        <f t="shared" si="37"/>
        <v>入力済</v>
      </c>
      <c r="AX78" s="611" t="str">
        <f>IFERROR(VLOOKUP(K78,【参考】数式用!$AR$3:$AS$49,2, FALSE), "")</f>
        <v/>
      </c>
      <c r="AY78" s="609" t="str">
        <f t="shared" ref="AY78:AY111" si="47">IF(AND(AN78="加算対象",N78="処遇改善加算Ⅰ"),"AI列に色付け","")</f>
        <v/>
      </c>
      <c r="AZ78" s="612" t="str">
        <f t="shared" ref="AZ78:AZ111" si="48">IF(AND(N78="処遇改善加算Ⅰ", AI78=""), "未入力","入力済")</f>
        <v>入力済</v>
      </c>
      <c r="BA78" s="611" t="str">
        <f>IFERROR(VLOOKUP(K78,【参考】数式用!$AX$3:$AY$59, 2, FALSE), "")</f>
        <v/>
      </c>
      <c r="BB78" s="609" t="str">
        <f t="shared" si="35"/>
        <v/>
      </c>
      <c r="BC78" s="612" t="str">
        <f t="shared" si="36"/>
        <v>入力済</v>
      </c>
      <c r="BD78" s="613" t="str">
        <f t="shared" ref="BD78:BD111" si="49">IF(BB78="AJ列に色付け","入力必要","")</f>
        <v/>
      </c>
      <c r="BE78" s="613" t="str">
        <f t="shared" ref="BE78:BE111" si="50">G78</f>
        <v/>
      </c>
    </row>
    <row r="79" spans="1:57" ht="109.9" customHeight="1" thickBot="1">
      <c r="A79" s="599">
        <v>68</v>
      </c>
      <c r="B79" s="913" t="str">
        <f>IF(基本情報入力シート!B107="","",基本情報入力シート!B107)</f>
        <v/>
      </c>
      <c r="C79" s="914"/>
      <c r="D79" s="914"/>
      <c r="E79" s="914"/>
      <c r="F79" s="915"/>
      <c r="G79" s="600" t="str">
        <f>IF(基本情報入力シート!L107="", "", 基本情報入力シート!L107)</f>
        <v/>
      </c>
      <c r="H79" s="600" t="str">
        <f>IF(基本情報入力シート!Q107="", "", 基本情報入力シート!Q107)</f>
        <v/>
      </c>
      <c r="I79" s="600" t="str">
        <f>IF(基本情報入力シート!V107="", "", 基本情報入力シート!V107)</f>
        <v/>
      </c>
      <c r="J79" s="600" t="str">
        <f>IF(基本情報入力シート!W107="", "", 基本情報入力シート!W107)</f>
        <v/>
      </c>
      <c r="K79" s="600"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01" t="s">
        <v>170</v>
      </c>
      <c r="Q79" s="225"/>
      <c r="R79" s="602" t="s">
        <v>253</v>
      </c>
      <c r="S79" s="225"/>
      <c r="T79" s="602" t="s">
        <v>254</v>
      </c>
      <c r="U79" s="225"/>
      <c r="V79" s="602" t="s">
        <v>253</v>
      </c>
      <c r="W79" s="225"/>
      <c r="X79" s="602" t="s">
        <v>172</v>
      </c>
      <c r="Y79" s="602" t="s">
        <v>256</v>
      </c>
      <c r="Z79" s="602" t="str">
        <f t="shared" ref="Z79:Z111" si="51">IF(Q79&gt;=1,(U79*12+W79)-(Q79*12+S79)+1,"")</f>
        <v/>
      </c>
      <c r="AA79" s="603" t="s">
        <v>257</v>
      </c>
      <c r="AB79" s="604" t="str">
        <f t="shared" ref="AB79:AB111" si="52">IFERROR(ROUNDDOWN(ROUND(L79*O79,0)*M79,0)*Z79,"")</f>
        <v/>
      </c>
      <c r="AC79" s="605" t="str">
        <f>IFERROR(ROUNDDOWN(ROUNDDOWN(ROUND(L79*VLOOKUP(K79,【参考】数式用!$A$4:$F$57,MATCH("処遇改善加算Ⅳ",【参考】数式用!$C$3:$F$3,0)+2,0),0)*M79,0)*Z79*0.5,0), "")</f>
        <v/>
      </c>
      <c r="AD79" s="245"/>
      <c r="AE79" s="246"/>
      <c r="AF79" s="246"/>
      <c r="AG79" s="247"/>
      <c r="AH79" s="248"/>
      <c r="AI79" s="249"/>
      <c r="AJ79" s="250"/>
      <c r="AK79" s="606" t="str">
        <f t="shared" si="38"/>
        <v/>
      </c>
      <c r="AL79" s="607" t="str">
        <f t="shared" si="34"/>
        <v/>
      </c>
      <c r="AM79" s="608"/>
      <c r="AN79" s="609" t="str">
        <f>IFERROR(VLOOKUP(K79,【参考】数式用!$A$2:$N$57,14,FALSE),"")</f>
        <v/>
      </c>
      <c r="AO79" s="609" t="str">
        <f t="shared" si="39"/>
        <v/>
      </c>
      <c r="AP79" s="610" t="str">
        <f t="shared" si="40"/>
        <v/>
      </c>
      <c r="AQ79" s="611" t="str">
        <f t="shared" si="41"/>
        <v>入力済</v>
      </c>
      <c r="AR79" s="609" t="str">
        <f t="shared" si="42"/>
        <v/>
      </c>
      <c r="AS79" s="611" t="str">
        <f t="shared" si="43"/>
        <v>入力済</v>
      </c>
      <c r="AT79" s="611" t="str">
        <f t="shared" si="44"/>
        <v/>
      </c>
      <c r="AU79" s="611" t="str">
        <f t="shared" si="45"/>
        <v/>
      </c>
      <c r="AV79" s="609" t="str">
        <f t="shared" si="46"/>
        <v/>
      </c>
      <c r="AW79" s="609" t="str">
        <f t="shared" si="37"/>
        <v>入力済</v>
      </c>
      <c r="AX79" s="611" t="str">
        <f>IFERROR(VLOOKUP(K79,【参考】数式用!$AR$3:$AS$49,2, FALSE), "")</f>
        <v/>
      </c>
      <c r="AY79" s="609" t="str">
        <f t="shared" si="47"/>
        <v/>
      </c>
      <c r="AZ79" s="612" t="str">
        <f t="shared" si="48"/>
        <v>入力済</v>
      </c>
      <c r="BA79" s="611" t="str">
        <f>IFERROR(VLOOKUP(K79,【参考】数式用!$AX$3:$AY$59, 2, FALSE), "")</f>
        <v/>
      </c>
      <c r="BB79" s="609" t="str">
        <f t="shared" si="35"/>
        <v/>
      </c>
      <c r="BC79" s="612" t="str">
        <f t="shared" si="36"/>
        <v>入力済</v>
      </c>
      <c r="BD79" s="613" t="str">
        <f t="shared" si="49"/>
        <v/>
      </c>
      <c r="BE79" s="613" t="str">
        <f t="shared" si="50"/>
        <v/>
      </c>
    </row>
    <row r="80" spans="1:57" ht="109.9" customHeight="1" thickBot="1">
      <c r="A80" s="599">
        <v>69</v>
      </c>
      <c r="B80" s="913" t="str">
        <f>IF(基本情報入力シート!B108="","",基本情報入力シート!B108)</f>
        <v/>
      </c>
      <c r="C80" s="914"/>
      <c r="D80" s="914"/>
      <c r="E80" s="914"/>
      <c r="F80" s="915"/>
      <c r="G80" s="600" t="str">
        <f>IF(基本情報入力シート!L108="", "", 基本情報入力シート!L108)</f>
        <v/>
      </c>
      <c r="H80" s="600" t="str">
        <f>IF(基本情報入力シート!Q108="", "", 基本情報入力シート!Q108)</f>
        <v/>
      </c>
      <c r="I80" s="600" t="str">
        <f>IF(基本情報入力シート!V108="", "", 基本情報入力シート!V108)</f>
        <v/>
      </c>
      <c r="J80" s="600" t="str">
        <f>IF(基本情報入力シート!W108="", "", 基本情報入力シート!W108)</f>
        <v/>
      </c>
      <c r="K80" s="600"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01" t="s">
        <v>170</v>
      </c>
      <c r="Q80" s="225"/>
      <c r="R80" s="602" t="s">
        <v>253</v>
      </c>
      <c r="S80" s="225"/>
      <c r="T80" s="602" t="s">
        <v>254</v>
      </c>
      <c r="U80" s="225"/>
      <c r="V80" s="602" t="s">
        <v>253</v>
      </c>
      <c r="W80" s="225"/>
      <c r="X80" s="602" t="s">
        <v>172</v>
      </c>
      <c r="Y80" s="602" t="s">
        <v>256</v>
      </c>
      <c r="Z80" s="602" t="str">
        <f t="shared" si="51"/>
        <v/>
      </c>
      <c r="AA80" s="603" t="s">
        <v>257</v>
      </c>
      <c r="AB80" s="604" t="str">
        <f t="shared" si="52"/>
        <v/>
      </c>
      <c r="AC80" s="605" t="str">
        <f>IFERROR(ROUNDDOWN(ROUNDDOWN(ROUND(L80*VLOOKUP(K80,【参考】数式用!$A$4:$F$57,MATCH("処遇改善加算Ⅳ",【参考】数式用!$C$3:$F$3,0)+2,0),0)*M80,0)*Z80*0.5,0), "")</f>
        <v/>
      </c>
      <c r="AD80" s="245"/>
      <c r="AE80" s="246"/>
      <c r="AF80" s="246"/>
      <c r="AG80" s="247"/>
      <c r="AH80" s="248"/>
      <c r="AI80" s="249"/>
      <c r="AJ80" s="250"/>
      <c r="AK80" s="606" t="str">
        <f t="shared" si="38"/>
        <v/>
      </c>
      <c r="AL80" s="607" t="str">
        <f t="shared" si="34"/>
        <v/>
      </c>
      <c r="AM80" s="608"/>
      <c r="AN80" s="609" t="str">
        <f>IFERROR(VLOOKUP(K80,【参考】数式用!$A$2:$N$57,14,FALSE),"")</f>
        <v/>
      </c>
      <c r="AO80" s="609" t="str">
        <f t="shared" si="39"/>
        <v/>
      </c>
      <c r="AP80" s="610" t="str">
        <f t="shared" si="40"/>
        <v/>
      </c>
      <c r="AQ80" s="611" t="str">
        <f t="shared" si="41"/>
        <v>入力済</v>
      </c>
      <c r="AR80" s="609" t="str">
        <f t="shared" si="42"/>
        <v/>
      </c>
      <c r="AS80" s="611" t="str">
        <f t="shared" si="43"/>
        <v>入力済</v>
      </c>
      <c r="AT80" s="611" t="str">
        <f t="shared" si="44"/>
        <v/>
      </c>
      <c r="AU80" s="611" t="str">
        <f t="shared" si="45"/>
        <v/>
      </c>
      <c r="AV80" s="609" t="str">
        <f t="shared" si="46"/>
        <v/>
      </c>
      <c r="AW80" s="609" t="str">
        <f t="shared" si="37"/>
        <v>入力済</v>
      </c>
      <c r="AX80" s="611" t="str">
        <f>IFERROR(VLOOKUP(K80,【参考】数式用!$AR$3:$AS$49,2, FALSE), "")</f>
        <v/>
      </c>
      <c r="AY80" s="609" t="str">
        <f t="shared" si="47"/>
        <v/>
      </c>
      <c r="AZ80" s="612" t="str">
        <f t="shared" si="48"/>
        <v>入力済</v>
      </c>
      <c r="BA80" s="611" t="str">
        <f>IFERROR(VLOOKUP(K80,【参考】数式用!$AX$3:$AY$59, 2, FALSE), "")</f>
        <v/>
      </c>
      <c r="BB80" s="609" t="str">
        <f t="shared" si="35"/>
        <v/>
      </c>
      <c r="BC80" s="612" t="str">
        <f t="shared" si="36"/>
        <v>入力済</v>
      </c>
      <c r="BD80" s="613" t="str">
        <f t="shared" si="49"/>
        <v/>
      </c>
      <c r="BE80" s="613" t="str">
        <f t="shared" si="50"/>
        <v/>
      </c>
    </row>
    <row r="81" spans="1:57" ht="109.9" customHeight="1" thickBot="1">
      <c r="A81" s="599">
        <v>70</v>
      </c>
      <c r="B81" s="913" t="str">
        <f>IF(基本情報入力シート!B109="","",基本情報入力シート!B109)</f>
        <v/>
      </c>
      <c r="C81" s="914"/>
      <c r="D81" s="914"/>
      <c r="E81" s="914"/>
      <c r="F81" s="915"/>
      <c r="G81" s="600" t="str">
        <f>IF(基本情報入力シート!L109="", "", 基本情報入力シート!L109)</f>
        <v/>
      </c>
      <c r="H81" s="600" t="str">
        <f>IF(基本情報入力シート!Q109="", "", 基本情報入力シート!Q109)</f>
        <v/>
      </c>
      <c r="I81" s="600" t="str">
        <f>IF(基本情報入力シート!V109="", "", 基本情報入力シート!V109)</f>
        <v/>
      </c>
      <c r="J81" s="600" t="str">
        <f>IF(基本情報入力シート!W109="", "", 基本情報入力シート!W109)</f>
        <v/>
      </c>
      <c r="K81" s="600"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01" t="s">
        <v>170</v>
      </c>
      <c r="Q81" s="225"/>
      <c r="R81" s="602" t="s">
        <v>253</v>
      </c>
      <c r="S81" s="225"/>
      <c r="T81" s="602" t="s">
        <v>254</v>
      </c>
      <c r="U81" s="225"/>
      <c r="V81" s="602" t="s">
        <v>253</v>
      </c>
      <c r="W81" s="225"/>
      <c r="X81" s="602" t="s">
        <v>255</v>
      </c>
      <c r="Y81" s="602" t="s">
        <v>256</v>
      </c>
      <c r="Z81" s="602" t="str">
        <f t="shared" si="51"/>
        <v/>
      </c>
      <c r="AA81" s="603" t="s">
        <v>257</v>
      </c>
      <c r="AB81" s="604" t="str">
        <f t="shared" si="52"/>
        <v/>
      </c>
      <c r="AC81" s="605" t="str">
        <f>IFERROR(ROUNDDOWN(ROUNDDOWN(ROUND(L81*VLOOKUP(K81,【参考】数式用!$A$4:$F$57,MATCH("処遇改善加算Ⅳ",【参考】数式用!$C$3:$F$3,0)+2,0),0)*M81,0)*Z81*0.5,0), "")</f>
        <v/>
      </c>
      <c r="AD81" s="245"/>
      <c r="AE81" s="246"/>
      <c r="AF81" s="246"/>
      <c r="AG81" s="247"/>
      <c r="AH81" s="248"/>
      <c r="AI81" s="249"/>
      <c r="AJ81" s="250"/>
      <c r="AK81" s="606" t="str">
        <f t="shared" si="38"/>
        <v/>
      </c>
      <c r="AL81" s="607" t="str">
        <f t="shared" si="34"/>
        <v/>
      </c>
      <c r="AM81" s="608"/>
      <c r="AN81" s="609" t="str">
        <f>IFERROR(VLOOKUP(K81,【参考】数式用!$A$2:$N$57,14,FALSE),"")</f>
        <v/>
      </c>
      <c r="AO81" s="609" t="str">
        <f t="shared" si="39"/>
        <v/>
      </c>
      <c r="AP81" s="610" t="str">
        <f t="shared" si="40"/>
        <v/>
      </c>
      <c r="AQ81" s="611" t="str">
        <f t="shared" si="41"/>
        <v>入力済</v>
      </c>
      <c r="AR81" s="609" t="str">
        <f t="shared" si="42"/>
        <v/>
      </c>
      <c r="AS81" s="611" t="str">
        <f t="shared" si="43"/>
        <v>入力済</v>
      </c>
      <c r="AT81" s="611" t="str">
        <f t="shared" si="44"/>
        <v/>
      </c>
      <c r="AU81" s="611" t="str">
        <f t="shared" si="45"/>
        <v/>
      </c>
      <c r="AV81" s="609" t="str">
        <f t="shared" si="46"/>
        <v/>
      </c>
      <c r="AW81" s="609" t="str">
        <f t="shared" si="37"/>
        <v>入力済</v>
      </c>
      <c r="AX81" s="611" t="str">
        <f>IFERROR(VLOOKUP(K81,【参考】数式用!$AR$3:$AS$49,2, FALSE), "")</f>
        <v/>
      </c>
      <c r="AY81" s="609" t="str">
        <f t="shared" si="47"/>
        <v/>
      </c>
      <c r="AZ81" s="612" t="str">
        <f t="shared" si="48"/>
        <v>入力済</v>
      </c>
      <c r="BA81" s="611" t="str">
        <f>IFERROR(VLOOKUP(K81,【参考】数式用!$AX$3:$AY$59, 2, FALSE), "")</f>
        <v/>
      </c>
      <c r="BB81" s="609" t="str">
        <f t="shared" si="35"/>
        <v/>
      </c>
      <c r="BC81" s="612" t="str">
        <f t="shared" si="36"/>
        <v>入力済</v>
      </c>
      <c r="BD81" s="613" t="str">
        <f t="shared" si="49"/>
        <v/>
      </c>
      <c r="BE81" s="613" t="str">
        <f t="shared" si="50"/>
        <v/>
      </c>
    </row>
    <row r="82" spans="1:57" ht="109.9" customHeight="1" thickBot="1">
      <c r="A82" s="599">
        <v>71</v>
      </c>
      <c r="B82" s="913" t="str">
        <f>IF(基本情報入力シート!B110="","",基本情報入力シート!B110)</f>
        <v/>
      </c>
      <c r="C82" s="914"/>
      <c r="D82" s="914"/>
      <c r="E82" s="914"/>
      <c r="F82" s="915"/>
      <c r="G82" s="600" t="str">
        <f>IF(基本情報入力シート!L110="", "", 基本情報入力シート!L110)</f>
        <v/>
      </c>
      <c r="H82" s="600" t="str">
        <f>IF(基本情報入力シート!Q110="", "", 基本情報入力シート!Q110)</f>
        <v/>
      </c>
      <c r="I82" s="600" t="str">
        <f>IF(基本情報入力シート!V110="", "", 基本情報入力シート!V110)</f>
        <v/>
      </c>
      <c r="J82" s="600" t="str">
        <f>IF(基本情報入力シート!W110="", "", 基本情報入力シート!W110)</f>
        <v/>
      </c>
      <c r="K82" s="600"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01" t="s">
        <v>170</v>
      </c>
      <c r="Q82" s="225"/>
      <c r="R82" s="602" t="s">
        <v>253</v>
      </c>
      <c r="S82" s="225"/>
      <c r="T82" s="602" t="s">
        <v>254</v>
      </c>
      <c r="U82" s="225"/>
      <c r="V82" s="602" t="s">
        <v>253</v>
      </c>
      <c r="W82" s="225"/>
      <c r="X82" s="602" t="s">
        <v>255</v>
      </c>
      <c r="Y82" s="602" t="s">
        <v>256</v>
      </c>
      <c r="Z82" s="602" t="str">
        <f t="shared" si="51"/>
        <v/>
      </c>
      <c r="AA82" s="603" t="s">
        <v>257</v>
      </c>
      <c r="AB82" s="604" t="str">
        <f t="shared" si="52"/>
        <v/>
      </c>
      <c r="AC82" s="605" t="str">
        <f>IFERROR(ROUNDDOWN(ROUNDDOWN(ROUND(L82*VLOOKUP(K82,【参考】数式用!$A$4:$F$57,MATCH("処遇改善加算Ⅳ",【参考】数式用!$C$3:$F$3,0)+2,0),0)*M82,0)*Z82*0.5,0), "")</f>
        <v/>
      </c>
      <c r="AD82" s="245"/>
      <c r="AE82" s="246"/>
      <c r="AF82" s="246"/>
      <c r="AG82" s="247"/>
      <c r="AH82" s="248"/>
      <c r="AI82" s="249"/>
      <c r="AJ82" s="250"/>
      <c r="AK82" s="606" t="str">
        <f t="shared" si="38"/>
        <v/>
      </c>
      <c r="AL82" s="607" t="str">
        <f t="shared" si="34"/>
        <v/>
      </c>
      <c r="AM82" s="608"/>
      <c r="AN82" s="609" t="str">
        <f>IFERROR(VLOOKUP(K82,【参考】数式用!$A$2:$N$57,14,FALSE),"")</f>
        <v/>
      </c>
      <c r="AO82" s="609" t="str">
        <f t="shared" si="39"/>
        <v/>
      </c>
      <c r="AP82" s="610" t="str">
        <f t="shared" si="40"/>
        <v/>
      </c>
      <c r="AQ82" s="611" t="str">
        <f t="shared" si="41"/>
        <v>入力済</v>
      </c>
      <c r="AR82" s="609" t="str">
        <f t="shared" si="42"/>
        <v/>
      </c>
      <c r="AS82" s="611" t="str">
        <f t="shared" si="43"/>
        <v>入力済</v>
      </c>
      <c r="AT82" s="611" t="str">
        <f t="shared" si="44"/>
        <v/>
      </c>
      <c r="AU82" s="611" t="str">
        <f t="shared" si="45"/>
        <v/>
      </c>
      <c r="AV82" s="609" t="str">
        <f t="shared" si="46"/>
        <v/>
      </c>
      <c r="AW82" s="609" t="str">
        <f t="shared" si="37"/>
        <v>入力済</v>
      </c>
      <c r="AX82" s="611" t="str">
        <f>IFERROR(VLOOKUP(K82,【参考】数式用!$AR$3:$AS$49,2, FALSE), "")</f>
        <v/>
      </c>
      <c r="AY82" s="609" t="str">
        <f t="shared" si="47"/>
        <v/>
      </c>
      <c r="AZ82" s="612" t="str">
        <f t="shared" si="48"/>
        <v>入力済</v>
      </c>
      <c r="BA82" s="611" t="str">
        <f>IFERROR(VLOOKUP(K82,【参考】数式用!$AX$3:$AY$59, 2, FALSE), "")</f>
        <v/>
      </c>
      <c r="BB82" s="609" t="str">
        <f t="shared" si="35"/>
        <v/>
      </c>
      <c r="BC82" s="612" t="str">
        <f t="shared" si="36"/>
        <v>入力済</v>
      </c>
      <c r="BD82" s="613" t="str">
        <f t="shared" si="49"/>
        <v/>
      </c>
      <c r="BE82" s="613" t="str">
        <f t="shared" si="50"/>
        <v/>
      </c>
    </row>
    <row r="83" spans="1:57" ht="109.9" customHeight="1" thickBot="1">
      <c r="A83" s="599">
        <v>72</v>
      </c>
      <c r="B83" s="913" t="str">
        <f>IF(基本情報入力シート!B111="","",基本情報入力シート!B111)</f>
        <v/>
      </c>
      <c r="C83" s="914"/>
      <c r="D83" s="914"/>
      <c r="E83" s="914"/>
      <c r="F83" s="915"/>
      <c r="G83" s="600" t="str">
        <f>IF(基本情報入力シート!L111="", "", 基本情報入力シート!L111)</f>
        <v/>
      </c>
      <c r="H83" s="600" t="str">
        <f>IF(基本情報入力シート!Q111="", "", 基本情報入力シート!Q111)</f>
        <v/>
      </c>
      <c r="I83" s="600" t="str">
        <f>IF(基本情報入力シート!V111="", "", 基本情報入力シート!V111)</f>
        <v/>
      </c>
      <c r="J83" s="600" t="str">
        <f>IF(基本情報入力シート!W111="", "", 基本情報入力シート!W111)</f>
        <v/>
      </c>
      <c r="K83" s="600"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01" t="s">
        <v>170</v>
      </c>
      <c r="Q83" s="225"/>
      <c r="R83" s="602" t="s">
        <v>253</v>
      </c>
      <c r="S83" s="225"/>
      <c r="T83" s="602" t="s">
        <v>254</v>
      </c>
      <c r="U83" s="225"/>
      <c r="V83" s="602" t="s">
        <v>253</v>
      </c>
      <c r="W83" s="225"/>
      <c r="X83" s="602" t="s">
        <v>255</v>
      </c>
      <c r="Y83" s="602" t="s">
        <v>256</v>
      </c>
      <c r="Z83" s="602" t="str">
        <f t="shared" si="51"/>
        <v/>
      </c>
      <c r="AA83" s="603" t="s">
        <v>257</v>
      </c>
      <c r="AB83" s="604" t="str">
        <f t="shared" si="52"/>
        <v/>
      </c>
      <c r="AC83" s="605" t="str">
        <f>IFERROR(ROUNDDOWN(ROUNDDOWN(ROUND(L83*VLOOKUP(K83,【参考】数式用!$A$4:$F$57,MATCH("処遇改善加算Ⅳ",【参考】数式用!$C$3:$F$3,0)+2,0),0)*M83,0)*Z83*0.5,0), "")</f>
        <v/>
      </c>
      <c r="AD83" s="245"/>
      <c r="AE83" s="246"/>
      <c r="AF83" s="246"/>
      <c r="AG83" s="247"/>
      <c r="AH83" s="248"/>
      <c r="AI83" s="249"/>
      <c r="AJ83" s="250"/>
      <c r="AK83" s="606" t="str">
        <f t="shared" si="38"/>
        <v/>
      </c>
      <c r="AL83" s="607" t="str">
        <f t="shared" si="34"/>
        <v/>
      </c>
      <c r="AM83" s="608"/>
      <c r="AN83" s="609" t="str">
        <f>IFERROR(VLOOKUP(K83,【参考】数式用!$A$2:$N$57,14,FALSE),"")</f>
        <v/>
      </c>
      <c r="AO83" s="609" t="str">
        <f t="shared" si="39"/>
        <v/>
      </c>
      <c r="AP83" s="610" t="str">
        <f t="shared" si="40"/>
        <v/>
      </c>
      <c r="AQ83" s="611" t="str">
        <f t="shared" si="41"/>
        <v>入力済</v>
      </c>
      <c r="AR83" s="609" t="str">
        <f t="shared" si="42"/>
        <v/>
      </c>
      <c r="AS83" s="611" t="str">
        <f t="shared" si="43"/>
        <v>入力済</v>
      </c>
      <c r="AT83" s="611" t="str">
        <f t="shared" si="44"/>
        <v/>
      </c>
      <c r="AU83" s="611" t="str">
        <f t="shared" si="45"/>
        <v/>
      </c>
      <c r="AV83" s="609" t="str">
        <f t="shared" si="46"/>
        <v/>
      </c>
      <c r="AW83" s="609" t="str">
        <f t="shared" si="37"/>
        <v>入力済</v>
      </c>
      <c r="AX83" s="611" t="str">
        <f>IFERROR(VLOOKUP(K83,【参考】数式用!$AR$3:$AS$49,2, FALSE), "")</f>
        <v/>
      </c>
      <c r="AY83" s="609" t="str">
        <f t="shared" si="47"/>
        <v/>
      </c>
      <c r="AZ83" s="612" t="str">
        <f t="shared" si="48"/>
        <v>入力済</v>
      </c>
      <c r="BA83" s="611" t="str">
        <f>IFERROR(VLOOKUP(K83,【参考】数式用!$AX$3:$AY$59, 2, FALSE), "")</f>
        <v/>
      </c>
      <c r="BB83" s="609" t="str">
        <f t="shared" si="35"/>
        <v/>
      </c>
      <c r="BC83" s="612" t="str">
        <f t="shared" si="36"/>
        <v>入力済</v>
      </c>
      <c r="BD83" s="613" t="str">
        <f t="shared" si="49"/>
        <v/>
      </c>
      <c r="BE83" s="613" t="str">
        <f t="shared" si="50"/>
        <v/>
      </c>
    </row>
    <row r="84" spans="1:57" ht="109.9" customHeight="1" thickBot="1">
      <c r="A84" s="599">
        <v>73</v>
      </c>
      <c r="B84" s="913" t="str">
        <f>IF(基本情報入力シート!B112="","",基本情報入力シート!B112)</f>
        <v/>
      </c>
      <c r="C84" s="914"/>
      <c r="D84" s="914"/>
      <c r="E84" s="914"/>
      <c r="F84" s="915"/>
      <c r="G84" s="600" t="str">
        <f>IF(基本情報入力シート!L112="", "", 基本情報入力シート!L112)</f>
        <v/>
      </c>
      <c r="H84" s="600" t="str">
        <f>IF(基本情報入力シート!Q112="", "", 基本情報入力シート!Q112)</f>
        <v/>
      </c>
      <c r="I84" s="600" t="str">
        <f>IF(基本情報入力シート!V112="", "", 基本情報入力シート!V112)</f>
        <v/>
      </c>
      <c r="J84" s="600" t="str">
        <f>IF(基本情報入力シート!W112="", "", 基本情報入力シート!W112)</f>
        <v/>
      </c>
      <c r="K84" s="600"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01" t="s">
        <v>170</v>
      </c>
      <c r="Q84" s="225"/>
      <c r="R84" s="602" t="s">
        <v>253</v>
      </c>
      <c r="S84" s="225"/>
      <c r="T84" s="602" t="s">
        <v>254</v>
      </c>
      <c r="U84" s="225"/>
      <c r="V84" s="602" t="s">
        <v>253</v>
      </c>
      <c r="W84" s="225"/>
      <c r="X84" s="602" t="s">
        <v>172</v>
      </c>
      <c r="Y84" s="602" t="s">
        <v>256</v>
      </c>
      <c r="Z84" s="602" t="str">
        <f t="shared" si="51"/>
        <v/>
      </c>
      <c r="AA84" s="603" t="s">
        <v>257</v>
      </c>
      <c r="AB84" s="604" t="str">
        <f t="shared" si="52"/>
        <v/>
      </c>
      <c r="AC84" s="605" t="str">
        <f>IFERROR(ROUNDDOWN(ROUNDDOWN(ROUND(L84*VLOOKUP(K84,【参考】数式用!$A$4:$F$57,MATCH("処遇改善加算Ⅳ",【参考】数式用!$C$3:$F$3,0)+2,0),0)*M84,0)*Z84*0.5,0), "")</f>
        <v/>
      </c>
      <c r="AD84" s="245"/>
      <c r="AE84" s="246"/>
      <c r="AF84" s="246"/>
      <c r="AG84" s="247"/>
      <c r="AH84" s="248"/>
      <c r="AI84" s="249"/>
      <c r="AJ84" s="250"/>
      <c r="AK84" s="606" t="str">
        <f t="shared" si="38"/>
        <v/>
      </c>
      <c r="AL84" s="607" t="str">
        <f t="shared" si="34"/>
        <v/>
      </c>
      <c r="AM84" s="608"/>
      <c r="AN84" s="609" t="str">
        <f>IFERROR(VLOOKUP(K84,【参考】数式用!$A$2:$N$57,14,FALSE),"")</f>
        <v/>
      </c>
      <c r="AO84" s="609" t="str">
        <f t="shared" si="39"/>
        <v/>
      </c>
      <c r="AP84" s="610" t="str">
        <f t="shared" si="40"/>
        <v/>
      </c>
      <c r="AQ84" s="611" t="str">
        <f t="shared" si="41"/>
        <v>入力済</v>
      </c>
      <c r="AR84" s="609" t="str">
        <f t="shared" si="42"/>
        <v/>
      </c>
      <c r="AS84" s="611" t="str">
        <f t="shared" si="43"/>
        <v>入力済</v>
      </c>
      <c r="AT84" s="611" t="str">
        <f t="shared" si="44"/>
        <v/>
      </c>
      <c r="AU84" s="611" t="str">
        <f t="shared" si="45"/>
        <v/>
      </c>
      <c r="AV84" s="609" t="str">
        <f t="shared" si="46"/>
        <v/>
      </c>
      <c r="AW84" s="609" t="str">
        <f t="shared" si="37"/>
        <v>入力済</v>
      </c>
      <c r="AX84" s="611" t="str">
        <f>IFERROR(VLOOKUP(K84,【参考】数式用!$AR$3:$AS$49,2, FALSE), "")</f>
        <v/>
      </c>
      <c r="AY84" s="609" t="str">
        <f t="shared" si="47"/>
        <v/>
      </c>
      <c r="AZ84" s="612" t="str">
        <f t="shared" si="48"/>
        <v>入力済</v>
      </c>
      <c r="BA84" s="611" t="str">
        <f>IFERROR(VLOOKUP(K84,【参考】数式用!$AX$3:$AY$59, 2, FALSE), "")</f>
        <v/>
      </c>
      <c r="BB84" s="609" t="str">
        <f t="shared" si="35"/>
        <v/>
      </c>
      <c r="BC84" s="612" t="str">
        <f t="shared" si="36"/>
        <v>入力済</v>
      </c>
      <c r="BD84" s="613" t="str">
        <f t="shared" si="49"/>
        <v/>
      </c>
      <c r="BE84" s="613" t="str">
        <f t="shared" si="50"/>
        <v/>
      </c>
    </row>
    <row r="85" spans="1:57" ht="109.9" customHeight="1" thickBot="1">
      <c r="A85" s="599">
        <v>74</v>
      </c>
      <c r="B85" s="913" t="str">
        <f>IF(基本情報入力シート!B113="","",基本情報入力シート!B113)</f>
        <v/>
      </c>
      <c r="C85" s="914"/>
      <c r="D85" s="914"/>
      <c r="E85" s="914"/>
      <c r="F85" s="915"/>
      <c r="G85" s="600" t="str">
        <f>IF(基本情報入力シート!L113="", "", 基本情報入力シート!L113)</f>
        <v/>
      </c>
      <c r="H85" s="600" t="str">
        <f>IF(基本情報入力シート!Q113="", "", 基本情報入力シート!Q113)</f>
        <v/>
      </c>
      <c r="I85" s="600" t="str">
        <f>IF(基本情報入力シート!V113="", "", 基本情報入力シート!V113)</f>
        <v/>
      </c>
      <c r="J85" s="600" t="str">
        <f>IF(基本情報入力シート!W113="", "", 基本情報入力シート!W113)</f>
        <v/>
      </c>
      <c r="K85" s="600"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01" t="s">
        <v>170</v>
      </c>
      <c r="Q85" s="225"/>
      <c r="R85" s="602" t="s">
        <v>253</v>
      </c>
      <c r="S85" s="225"/>
      <c r="T85" s="602" t="s">
        <v>254</v>
      </c>
      <c r="U85" s="225"/>
      <c r="V85" s="602" t="s">
        <v>253</v>
      </c>
      <c r="W85" s="225"/>
      <c r="X85" s="602" t="s">
        <v>255</v>
      </c>
      <c r="Y85" s="602" t="s">
        <v>256</v>
      </c>
      <c r="Z85" s="602" t="str">
        <f t="shared" si="51"/>
        <v/>
      </c>
      <c r="AA85" s="603" t="s">
        <v>257</v>
      </c>
      <c r="AB85" s="604" t="str">
        <f t="shared" si="52"/>
        <v/>
      </c>
      <c r="AC85" s="605" t="str">
        <f>IFERROR(ROUNDDOWN(ROUNDDOWN(ROUND(L85*VLOOKUP(K85,【参考】数式用!$A$4:$F$57,MATCH("処遇改善加算Ⅳ",【参考】数式用!$C$3:$F$3,0)+2,0),0)*M85,0)*Z85*0.5,0), "")</f>
        <v/>
      </c>
      <c r="AD85" s="245"/>
      <c r="AE85" s="246"/>
      <c r="AF85" s="246"/>
      <c r="AG85" s="247"/>
      <c r="AH85" s="248"/>
      <c r="AI85" s="249"/>
      <c r="AJ85" s="250"/>
      <c r="AK85" s="606" t="str">
        <f t="shared" si="38"/>
        <v/>
      </c>
      <c r="AL85" s="607" t="str">
        <f t="shared" si="34"/>
        <v/>
      </c>
      <c r="AM85" s="608"/>
      <c r="AN85" s="609" t="str">
        <f>IFERROR(VLOOKUP(K85,【参考】数式用!$A$2:$N$57,14,FALSE),"")</f>
        <v/>
      </c>
      <c r="AO85" s="609" t="str">
        <f t="shared" si="39"/>
        <v/>
      </c>
      <c r="AP85" s="610" t="str">
        <f t="shared" si="40"/>
        <v/>
      </c>
      <c r="AQ85" s="611" t="str">
        <f t="shared" si="41"/>
        <v>入力済</v>
      </c>
      <c r="AR85" s="609" t="str">
        <f t="shared" si="42"/>
        <v/>
      </c>
      <c r="AS85" s="611" t="str">
        <f t="shared" si="43"/>
        <v>入力済</v>
      </c>
      <c r="AT85" s="611" t="str">
        <f t="shared" si="44"/>
        <v/>
      </c>
      <c r="AU85" s="611" t="str">
        <f t="shared" si="45"/>
        <v/>
      </c>
      <c r="AV85" s="609" t="str">
        <f t="shared" si="46"/>
        <v/>
      </c>
      <c r="AW85" s="609" t="str">
        <f t="shared" si="37"/>
        <v>入力済</v>
      </c>
      <c r="AX85" s="611" t="str">
        <f>IFERROR(VLOOKUP(K85,【参考】数式用!$AR$3:$AS$49,2, FALSE), "")</f>
        <v/>
      </c>
      <c r="AY85" s="609" t="str">
        <f t="shared" si="47"/>
        <v/>
      </c>
      <c r="AZ85" s="612" t="str">
        <f t="shared" si="48"/>
        <v>入力済</v>
      </c>
      <c r="BA85" s="611" t="str">
        <f>IFERROR(VLOOKUP(K85,【参考】数式用!$AX$3:$AY$59, 2, FALSE), "")</f>
        <v/>
      </c>
      <c r="BB85" s="609" t="str">
        <f t="shared" si="35"/>
        <v/>
      </c>
      <c r="BC85" s="612" t="str">
        <f t="shared" si="36"/>
        <v>入力済</v>
      </c>
      <c r="BD85" s="613" t="str">
        <f t="shared" si="49"/>
        <v/>
      </c>
      <c r="BE85" s="613" t="str">
        <f t="shared" si="50"/>
        <v/>
      </c>
    </row>
    <row r="86" spans="1:57" ht="109.9" customHeight="1" thickBot="1">
      <c r="A86" s="599">
        <v>75</v>
      </c>
      <c r="B86" s="913" t="str">
        <f>IF(基本情報入力シート!B114="","",基本情報入力シート!B114)</f>
        <v/>
      </c>
      <c r="C86" s="914"/>
      <c r="D86" s="914"/>
      <c r="E86" s="914"/>
      <c r="F86" s="915"/>
      <c r="G86" s="600" t="str">
        <f>IF(基本情報入力シート!L114="", "", 基本情報入力シート!L114)</f>
        <v/>
      </c>
      <c r="H86" s="600" t="str">
        <f>IF(基本情報入力シート!Q114="", "", 基本情報入力シート!Q114)</f>
        <v/>
      </c>
      <c r="I86" s="600" t="str">
        <f>IF(基本情報入力シート!V114="", "", 基本情報入力シート!V114)</f>
        <v/>
      </c>
      <c r="J86" s="600" t="str">
        <f>IF(基本情報入力シート!W114="", "", 基本情報入力シート!W114)</f>
        <v/>
      </c>
      <c r="K86" s="600"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01" t="s">
        <v>170</v>
      </c>
      <c r="Q86" s="225"/>
      <c r="R86" s="602" t="s">
        <v>253</v>
      </c>
      <c r="S86" s="225"/>
      <c r="T86" s="602" t="s">
        <v>254</v>
      </c>
      <c r="U86" s="225"/>
      <c r="V86" s="602" t="s">
        <v>253</v>
      </c>
      <c r="W86" s="225"/>
      <c r="X86" s="602" t="s">
        <v>255</v>
      </c>
      <c r="Y86" s="602" t="s">
        <v>256</v>
      </c>
      <c r="Z86" s="602" t="str">
        <f t="shared" si="51"/>
        <v/>
      </c>
      <c r="AA86" s="603" t="s">
        <v>257</v>
      </c>
      <c r="AB86" s="604" t="str">
        <f t="shared" si="52"/>
        <v/>
      </c>
      <c r="AC86" s="605" t="str">
        <f>IFERROR(ROUNDDOWN(ROUNDDOWN(ROUND(L86*VLOOKUP(K86,【参考】数式用!$A$4:$F$57,MATCH("処遇改善加算Ⅳ",【参考】数式用!$C$3:$F$3,0)+2,0),0)*M86,0)*Z86*0.5,0), "")</f>
        <v/>
      </c>
      <c r="AD86" s="245"/>
      <c r="AE86" s="246"/>
      <c r="AF86" s="246"/>
      <c r="AG86" s="247"/>
      <c r="AH86" s="248"/>
      <c r="AI86" s="249"/>
      <c r="AJ86" s="250"/>
      <c r="AK86" s="606" t="str">
        <f t="shared" si="38"/>
        <v/>
      </c>
      <c r="AL86" s="607" t="str">
        <f t="shared" si="34"/>
        <v/>
      </c>
      <c r="AM86" s="608"/>
      <c r="AN86" s="609" t="str">
        <f>IFERROR(VLOOKUP(K86,【参考】数式用!$A$2:$N$57,14,FALSE),"")</f>
        <v/>
      </c>
      <c r="AO86" s="609" t="str">
        <f t="shared" si="39"/>
        <v/>
      </c>
      <c r="AP86" s="610" t="str">
        <f t="shared" si="40"/>
        <v/>
      </c>
      <c r="AQ86" s="611" t="str">
        <f t="shared" si="41"/>
        <v>入力済</v>
      </c>
      <c r="AR86" s="609" t="str">
        <f t="shared" si="42"/>
        <v/>
      </c>
      <c r="AS86" s="611" t="str">
        <f t="shared" si="43"/>
        <v>入力済</v>
      </c>
      <c r="AT86" s="611" t="str">
        <f t="shared" si="44"/>
        <v/>
      </c>
      <c r="AU86" s="611" t="str">
        <f t="shared" si="45"/>
        <v/>
      </c>
      <c r="AV86" s="609" t="str">
        <f t="shared" si="46"/>
        <v/>
      </c>
      <c r="AW86" s="609" t="str">
        <f t="shared" si="37"/>
        <v>入力済</v>
      </c>
      <c r="AX86" s="611" t="str">
        <f>IFERROR(VLOOKUP(K86,【参考】数式用!$AR$3:$AS$49,2, FALSE), "")</f>
        <v/>
      </c>
      <c r="AY86" s="609" t="str">
        <f t="shared" si="47"/>
        <v/>
      </c>
      <c r="AZ86" s="612" t="str">
        <f t="shared" si="48"/>
        <v>入力済</v>
      </c>
      <c r="BA86" s="611" t="str">
        <f>IFERROR(VLOOKUP(K86,【参考】数式用!$AX$3:$AY$59, 2, FALSE), "")</f>
        <v/>
      </c>
      <c r="BB86" s="609" t="str">
        <f t="shared" si="35"/>
        <v/>
      </c>
      <c r="BC86" s="612" t="str">
        <f t="shared" si="36"/>
        <v>入力済</v>
      </c>
      <c r="BD86" s="613" t="str">
        <f t="shared" si="49"/>
        <v/>
      </c>
      <c r="BE86" s="613" t="str">
        <f t="shared" si="50"/>
        <v/>
      </c>
    </row>
    <row r="87" spans="1:57" ht="109.9" customHeight="1" thickBot="1">
      <c r="A87" s="599">
        <v>76</v>
      </c>
      <c r="B87" s="913" t="str">
        <f>IF(基本情報入力シート!B115="","",基本情報入力シート!B115)</f>
        <v/>
      </c>
      <c r="C87" s="914"/>
      <c r="D87" s="914"/>
      <c r="E87" s="914"/>
      <c r="F87" s="915"/>
      <c r="G87" s="600" t="str">
        <f>IF(基本情報入力シート!L115="", "", 基本情報入力シート!L115)</f>
        <v/>
      </c>
      <c r="H87" s="600" t="str">
        <f>IF(基本情報入力シート!Q115="", "", 基本情報入力シート!Q115)</f>
        <v/>
      </c>
      <c r="I87" s="600" t="str">
        <f>IF(基本情報入力シート!V115="", "", 基本情報入力シート!V115)</f>
        <v/>
      </c>
      <c r="J87" s="600" t="str">
        <f>IF(基本情報入力シート!W115="", "", 基本情報入力シート!W115)</f>
        <v/>
      </c>
      <c r="K87" s="600"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01" t="s">
        <v>170</v>
      </c>
      <c r="Q87" s="225"/>
      <c r="R87" s="602" t="s">
        <v>253</v>
      </c>
      <c r="S87" s="225"/>
      <c r="T87" s="602" t="s">
        <v>254</v>
      </c>
      <c r="U87" s="225"/>
      <c r="V87" s="602" t="s">
        <v>253</v>
      </c>
      <c r="W87" s="225"/>
      <c r="X87" s="602" t="s">
        <v>255</v>
      </c>
      <c r="Y87" s="602" t="s">
        <v>256</v>
      </c>
      <c r="Z87" s="602" t="str">
        <f t="shared" si="51"/>
        <v/>
      </c>
      <c r="AA87" s="603" t="s">
        <v>257</v>
      </c>
      <c r="AB87" s="604" t="str">
        <f t="shared" si="52"/>
        <v/>
      </c>
      <c r="AC87" s="605" t="str">
        <f>IFERROR(ROUNDDOWN(ROUNDDOWN(ROUND(L87*VLOOKUP(K87,【参考】数式用!$A$4:$F$57,MATCH("処遇改善加算Ⅳ",【参考】数式用!$C$3:$F$3,0)+2,0),0)*M87,0)*Z87*0.5,0), "")</f>
        <v/>
      </c>
      <c r="AD87" s="245"/>
      <c r="AE87" s="246"/>
      <c r="AF87" s="246"/>
      <c r="AG87" s="247"/>
      <c r="AH87" s="248"/>
      <c r="AI87" s="249"/>
      <c r="AJ87" s="250"/>
      <c r="AK87" s="606" t="str">
        <f t="shared" si="38"/>
        <v/>
      </c>
      <c r="AL87" s="607" t="str">
        <f t="shared" si="34"/>
        <v/>
      </c>
      <c r="AM87" s="608"/>
      <c r="AN87" s="609" t="str">
        <f>IFERROR(VLOOKUP(K87,【参考】数式用!$A$2:$N$57,14,FALSE),"")</f>
        <v/>
      </c>
      <c r="AO87" s="609" t="str">
        <f t="shared" si="39"/>
        <v/>
      </c>
      <c r="AP87" s="610" t="str">
        <f t="shared" si="40"/>
        <v/>
      </c>
      <c r="AQ87" s="611" t="str">
        <f t="shared" si="41"/>
        <v>入力済</v>
      </c>
      <c r="AR87" s="609" t="str">
        <f t="shared" si="42"/>
        <v/>
      </c>
      <c r="AS87" s="611" t="str">
        <f t="shared" si="43"/>
        <v>入力済</v>
      </c>
      <c r="AT87" s="611" t="str">
        <f t="shared" si="44"/>
        <v/>
      </c>
      <c r="AU87" s="611" t="str">
        <f t="shared" si="45"/>
        <v/>
      </c>
      <c r="AV87" s="609" t="str">
        <f t="shared" si="46"/>
        <v/>
      </c>
      <c r="AW87" s="609" t="str">
        <f t="shared" si="37"/>
        <v>入力済</v>
      </c>
      <c r="AX87" s="611" t="str">
        <f>IFERROR(VLOOKUP(K87,【参考】数式用!$AR$3:$AS$49,2, FALSE), "")</f>
        <v/>
      </c>
      <c r="AY87" s="609" t="str">
        <f t="shared" si="47"/>
        <v/>
      </c>
      <c r="AZ87" s="612" t="str">
        <f t="shared" si="48"/>
        <v>入力済</v>
      </c>
      <c r="BA87" s="611" t="str">
        <f>IFERROR(VLOOKUP(K87,【参考】数式用!$AX$3:$AY$59, 2, FALSE), "")</f>
        <v/>
      </c>
      <c r="BB87" s="609" t="str">
        <f t="shared" si="35"/>
        <v/>
      </c>
      <c r="BC87" s="612" t="str">
        <f t="shared" si="36"/>
        <v>入力済</v>
      </c>
      <c r="BD87" s="613" t="str">
        <f t="shared" si="49"/>
        <v/>
      </c>
      <c r="BE87" s="613" t="str">
        <f t="shared" si="50"/>
        <v/>
      </c>
    </row>
    <row r="88" spans="1:57" ht="109.9" customHeight="1" thickBot="1">
      <c r="A88" s="599">
        <v>77</v>
      </c>
      <c r="B88" s="913" t="str">
        <f>IF(基本情報入力シート!B116="","",基本情報入力シート!B116)</f>
        <v/>
      </c>
      <c r="C88" s="914"/>
      <c r="D88" s="914"/>
      <c r="E88" s="914"/>
      <c r="F88" s="915"/>
      <c r="G88" s="600" t="str">
        <f>IF(基本情報入力シート!L116="", "", 基本情報入力シート!L116)</f>
        <v/>
      </c>
      <c r="H88" s="600" t="str">
        <f>IF(基本情報入力シート!Q116="", "", 基本情報入力シート!Q116)</f>
        <v/>
      </c>
      <c r="I88" s="600" t="str">
        <f>IF(基本情報入力シート!V116="", "", 基本情報入力シート!V116)</f>
        <v/>
      </c>
      <c r="J88" s="600" t="str">
        <f>IF(基本情報入力シート!W116="", "", 基本情報入力シート!W116)</f>
        <v/>
      </c>
      <c r="K88" s="600"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01" t="s">
        <v>170</v>
      </c>
      <c r="Q88" s="225"/>
      <c r="R88" s="602" t="s">
        <v>253</v>
      </c>
      <c r="S88" s="225"/>
      <c r="T88" s="602" t="s">
        <v>254</v>
      </c>
      <c r="U88" s="225"/>
      <c r="V88" s="602" t="s">
        <v>253</v>
      </c>
      <c r="W88" s="225"/>
      <c r="X88" s="602" t="s">
        <v>172</v>
      </c>
      <c r="Y88" s="602" t="s">
        <v>256</v>
      </c>
      <c r="Z88" s="602" t="str">
        <f t="shared" si="51"/>
        <v/>
      </c>
      <c r="AA88" s="603" t="s">
        <v>257</v>
      </c>
      <c r="AB88" s="604" t="str">
        <f t="shared" si="52"/>
        <v/>
      </c>
      <c r="AC88" s="605" t="str">
        <f>IFERROR(ROUNDDOWN(ROUNDDOWN(ROUND(L88*VLOOKUP(K88,【参考】数式用!$A$4:$F$57,MATCH("処遇改善加算Ⅳ",【参考】数式用!$C$3:$F$3,0)+2,0),0)*M88,0)*Z88*0.5,0), "")</f>
        <v/>
      </c>
      <c r="AD88" s="245"/>
      <c r="AE88" s="246"/>
      <c r="AF88" s="246"/>
      <c r="AG88" s="247"/>
      <c r="AH88" s="248"/>
      <c r="AI88" s="249"/>
      <c r="AJ88" s="250"/>
      <c r="AK88" s="606" t="str">
        <f t="shared" si="38"/>
        <v/>
      </c>
      <c r="AL88" s="607" t="str">
        <f t="shared" si="34"/>
        <v/>
      </c>
      <c r="AM88" s="608"/>
      <c r="AN88" s="609" t="str">
        <f>IFERROR(VLOOKUP(K88,【参考】数式用!$A$2:$N$57,14,FALSE),"")</f>
        <v/>
      </c>
      <c r="AO88" s="609" t="str">
        <f t="shared" si="39"/>
        <v/>
      </c>
      <c r="AP88" s="610" t="str">
        <f t="shared" si="40"/>
        <v/>
      </c>
      <c r="AQ88" s="611" t="str">
        <f t="shared" si="41"/>
        <v>入力済</v>
      </c>
      <c r="AR88" s="609" t="str">
        <f t="shared" si="42"/>
        <v/>
      </c>
      <c r="AS88" s="611" t="str">
        <f t="shared" si="43"/>
        <v>入力済</v>
      </c>
      <c r="AT88" s="611" t="str">
        <f t="shared" si="44"/>
        <v/>
      </c>
      <c r="AU88" s="611" t="str">
        <f t="shared" si="45"/>
        <v/>
      </c>
      <c r="AV88" s="609" t="str">
        <f t="shared" si="46"/>
        <v/>
      </c>
      <c r="AW88" s="609" t="str">
        <f t="shared" si="37"/>
        <v>入力済</v>
      </c>
      <c r="AX88" s="611" t="str">
        <f>IFERROR(VLOOKUP(K88,【参考】数式用!$AR$3:$AS$49,2, FALSE), "")</f>
        <v/>
      </c>
      <c r="AY88" s="609" t="str">
        <f t="shared" si="47"/>
        <v/>
      </c>
      <c r="AZ88" s="612" t="str">
        <f t="shared" si="48"/>
        <v>入力済</v>
      </c>
      <c r="BA88" s="611" t="str">
        <f>IFERROR(VLOOKUP(K88,【参考】数式用!$AX$3:$AY$59, 2, FALSE), "")</f>
        <v/>
      </c>
      <c r="BB88" s="609" t="str">
        <f t="shared" si="35"/>
        <v/>
      </c>
      <c r="BC88" s="612" t="str">
        <f t="shared" si="36"/>
        <v>入力済</v>
      </c>
      <c r="BD88" s="613" t="str">
        <f t="shared" si="49"/>
        <v/>
      </c>
      <c r="BE88" s="613" t="str">
        <f t="shared" si="50"/>
        <v/>
      </c>
    </row>
    <row r="89" spans="1:57" ht="109.9" customHeight="1" thickBot="1">
      <c r="A89" s="599">
        <v>78</v>
      </c>
      <c r="B89" s="913" t="str">
        <f>IF(基本情報入力シート!B117="","",基本情報入力シート!B117)</f>
        <v/>
      </c>
      <c r="C89" s="914"/>
      <c r="D89" s="914"/>
      <c r="E89" s="914"/>
      <c r="F89" s="915"/>
      <c r="G89" s="600" t="str">
        <f>IF(基本情報入力シート!L117="", "", 基本情報入力シート!L117)</f>
        <v/>
      </c>
      <c r="H89" s="600" t="str">
        <f>IF(基本情報入力シート!Q117="", "", 基本情報入力シート!Q117)</f>
        <v/>
      </c>
      <c r="I89" s="600" t="str">
        <f>IF(基本情報入力シート!V117="", "", 基本情報入力シート!V117)</f>
        <v/>
      </c>
      <c r="J89" s="600" t="str">
        <f>IF(基本情報入力シート!W117="", "", 基本情報入力シート!W117)</f>
        <v/>
      </c>
      <c r="K89" s="600"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01" t="s">
        <v>170</v>
      </c>
      <c r="Q89" s="225"/>
      <c r="R89" s="602" t="s">
        <v>253</v>
      </c>
      <c r="S89" s="225"/>
      <c r="T89" s="602" t="s">
        <v>254</v>
      </c>
      <c r="U89" s="225"/>
      <c r="V89" s="602" t="s">
        <v>253</v>
      </c>
      <c r="W89" s="225"/>
      <c r="X89" s="602" t="s">
        <v>172</v>
      </c>
      <c r="Y89" s="602" t="s">
        <v>256</v>
      </c>
      <c r="Z89" s="602" t="str">
        <f t="shared" si="51"/>
        <v/>
      </c>
      <c r="AA89" s="603" t="s">
        <v>257</v>
      </c>
      <c r="AB89" s="604" t="str">
        <f t="shared" si="52"/>
        <v/>
      </c>
      <c r="AC89" s="605" t="str">
        <f>IFERROR(ROUNDDOWN(ROUNDDOWN(ROUND(L89*VLOOKUP(K89,【参考】数式用!$A$4:$F$57,MATCH("処遇改善加算Ⅳ",【参考】数式用!$C$3:$F$3,0)+2,0),0)*M89,0)*Z89*0.5,0), "")</f>
        <v/>
      </c>
      <c r="AD89" s="245"/>
      <c r="AE89" s="246"/>
      <c r="AF89" s="246"/>
      <c r="AG89" s="247"/>
      <c r="AH89" s="248"/>
      <c r="AI89" s="249"/>
      <c r="AJ89" s="250"/>
      <c r="AK89" s="606" t="str">
        <f t="shared" si="38"/>
        <v/>
      </c>
      <c r="AL89" s="607" t="str">
        <f t="shared" si="34"/>
        <v/>
      </c>
      <c r="AM89" s="608"/>
      <c r="AN89" s="609" t="str">
        <f>IFERROR(VLOOKUP(K89,【参考】数式用!$A$2:$N$57,14,FALSE),"")</f>
        <v/>
      </c>
      <c r="AO89" s="609" t="str">
        <f t="shared" si="39"/>
        <v/>
      </c>
      <c r="AP89" s="610" t="str">
        <f t="shared" si="40"/>
        <v/>
      </c>
      <c r="AQ89" s="611" t="str">
        <f t="shared" si="41"/>
        <v>入力済</v>
      </c>
      <c r="AR89" s="609" t="str">
        <f t="shared" si="42"/>
        <v/>
      </c>
      <c r="AS89" s="611" t="str">
        <f t="shared" si="43"/>
        <v>入力済</v>
      </c>
      <c r="AT89" s="611" t="str">
        <f t="shared" si="44"/>
        <v/>
      </c>
      <c r="AU89" s="611" t="str">
        <f t="shared" si="45"/>
        <v/>
      </c>
      <c r="AV89" s="609" t="str">
        <f t="shared" si="46"/>
        <v/>
      </c>
      <c r="AW89" s="609" t="str">
        <f t="shared" si="37"/>
        <v>入力済</v>
      </c>
      <c r="AX89" s="611" t="str">
        <f>IFERROR(VLOOKUP(K89,【参考】数式用!$AR$3:$AS$49,2, FALSE), "")</f>
        <v/>
      </c>
      <c r="AY89" s="609" t="str">
        <f t="shared" si="47"/>
        <v/>
      </c>
      <c r="AZ89" s="612" t="str">
        <f t="shared" si="48"/>
        <v>入力済</v>
      </c>
      <c r="BA89" s="611" t="str">
        <f>IFERROR(VLOOKUP(K89,【参考】数式用!$AX$3:$AY$59, 2, FALSE), "")</f>
        <v/>
      </c>
      <c r="BB89" s="609" t="str">
        <f t="shared" si="35"/>
        <v/>
      </c>
      <c r="BC89" s="612" t="str">
        <f t="shared" si="36"/>
        <v>入力済</v>
      </c>
      <c r="BD89" s="613" t="str">
        <f t="shared" si="49"/>
        <v/>
      </c>
      <c r="BE89" s="613" t="str">
        <f t="shared" si="50"/>
        <v/>
      </c>
    </row>
    <row r="90" spans="1:57" ht="109.9" customHeight="1" thickBot="1">
      <c r="A90" s="599">
        <v>79</v>
      </c>
      <c r="B90" s="913" t="str">
        <f>IF(基本情報入力シート!B118="","",基本情報入力シート!B118)</f>
        <v/>
      </c>
      <c r="C90" s="914"/>
      <c r="D90" s="914"/>
      <c r="E90" s="914"/>
      <c r="F90" s="915"/>
      <c r="G90" s="600" t="str">
        <f>IF(基本情報入力シート!L118="", "", 基本情報入力シート!L118)</f>
        <v/>
      </c>
      <c r="H90" s="600" t="str">
        <f>IF(基本情報入力シート!Q118="", "", 基本情報入力シート!Q118)</f>
        <v/>
      </c>
      <c r="I90" s="600" t="str">
        <f>IF(基本情報入力シート!V118="", "", 基本情報入力シート!V118)</f>
        <v/>
      </c>
      <c r="J90" s="600" t="str">
        <f>IF(基本情報入力シート!W118="", "", 基本情報入力シート!W118)</f>
        <v/>
      </c>
      <c r="K90" s="600"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01" t="s">
        <v>170</v>
      </c>
      <c r="Q90" s="225"/>
      <c r="R90" s="602" t="s">
        <v>253</v>
      </c>
      <c r="S90" s="225"/>
      <c r="T90" s="602" t="s">
        <v>254</v>
      </c>
      <c r="U90" s="225"/>
      <c r="V90" s="602" t="s">
        <v>253</v>
      </c>
      <c r="W90" s="225"/>
      <c r="X90" s="602" t="s">
        <v>255</v>
      </c>
      <c r="Y90" s="602" t="s">
        <v>256</v>
      </c>
      <c r="Z90" s="602" t="str">
        <f t="shared" si="51"/>
        <v/>
      </c>
      <c r="AA90" s="603" t="s">
        <v>257</v>
      </c>
      <c r="AB90" s="604" t="str">
        <f t="shared" si="52"/>
        <v/>
      </c>
      <c r="AC90" s="605" t="str">
        <f>IFERROR(ROUNDDOWN(ROUNDDOWN(ROUND(L90*VLOOKUP(K90,【参考】数式用!$A$4:$F$57,MATCH("処遇改善加算Ⅳ",【参考】数式用!$C$3:$F$3,0)+2,0),0)*M90,0)*Z90*0.5,0), "")</f>
        <v/>
      </c>
      <c r="AD90" s="245"/>
      <c r="AE90" s="246"/>
      <c r="AF90" s="246"/>
      <c r="AG90" s="247"/>
      <c r="AH90" s="248"/>
      <c r="AI90" s="249"/>
      <c r="AJ90" s="250"/>
      <c r="AK90" s="606" t="str">
        <f t="shared" si="38"/>
        <v/>
      </c>
      <c r="AL90" s="607" t="str">
        <f t="shared" si="34"/>
        <v/>
      </c>
      <c r="AM90" s="608"/>
      <c r="AN90" s="609" t="str">
        <f>IFERROR(VLOOKUP(K90,【参考】数式用!$A$2:$N$57,14,FALSE),"")</f>
        <v/>
      </c>
      <c r="AO90" s="609" t="str">
        <f t="shared" si="39"/>
        <v/>
      </c>
      <c r="AP90" s="610" t="str">
        <f t="shared" si="40"/>
        <v/>
      </c>
      <c r="AQ90" s="611" t="str">
        <f t="shared" si="41"/>
        <v>入力済</v>
      </c>
      <c r="AR90" s="609" t="str">
        <f t="shared" si="42"/>
        <v/>
      </c>
      <c r="AS90" s="611" t="str">
        <f t="shared" si="43"/>
        <v>入力済</v>
      </c>
      <c r="AT90" s="611" t="str">
        <f t="shared" si="44"/>
        <v/>
      </c>
      <c r="AU90" s="611" t="str">
        <f t="shared" si="45"/>
        <v/>
      </c>
      <c r="AV90" s="609" t="str">
        <f t="shared" si="46"/>
        <v/>
      </c>
      <c r="AW90" s="609" t="str">
        <f t="shared" si="37"/>
        <v>入力済</v>
      </c>
      <c r="AX90" s="611" t="str">
        <f>IFERROR(VLOOKUP(K90,【参考】数式用!$AR$3:$AS$49,2, FALSE), "")</f>
        <v/>
      </c>
      <c r="AY90" s="609" t="str">
        <f t="shared" si="47"/>
        <v/>
      </c>
      <c r="AZ90" s="612" t="str">
        <f t="shared" si="48"/>
        <v>入力済</v>
      </c>
      <c r="BA90" s="611" t="str">
        <f>IFERROR(VLOOKUP(K90,【参考】数式用!$AX$3:$AY$59, 2, FALSE), "")</f>
        <v/>
      </c>
      <c r="BB90" s="609" t="str">
        <f t="shared" si="35"/>
        <v/>
      </c>
      <c r="BC90" s="612" t="str">
        <f t="shared" si="36"/>
        <v>入力済</v>
      </c>
      <c r="BD90" s="613" t="str">
        <f t="shared" si="49"/>
        <v/>
      </c>
      <c r="BE90" s="613" t="str">
        <f t="shared" si="50"/>
        <v/>
      </c>
    </row>
    <row r="91" spans="1:57" ht="109.9" customHeight="1" thickBot="1">
      <c r="A91" s="599">
        <v>80</v>
      </c>
      <c r="B91" s="913" t="str">
        <f>IF(基本情報入力シート!B119="","",基本情報入力シート!B119)</f>
        <v/>
      </c>
      <c r="C91" s="914"/>
      <c r="D91" s="914"/>
      <c r="E91" s="914"/>
      <c r="F91" s="915"/>
      <c r="G91" s="600" t="str">
        <f>IF(基本情報入力シート!L119="", "", 基本情報入力シート!L119)</f>
        <v/>
      </c>
      <c r="H91" s="600" t="str">
        <f>IF(基本情報入力シート!Q119="", "", 基本情報入力シート!Q119)</f>
        <v/>
      </c>
      <c r="I91" s="600" t="str">
        <f>IF(基本情報入力シート!V119="", "", 基本情報入力シート!V119)</f>
        <v/>
      </c>
      <c r="J91" s="600" t="str">
        <f>IF(基本情報入力シート!W119="", "", 基本情報入力シート!W119)</f>
        <v/>
      </c>
      <c r="K91" s="600"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01" t="s">
        <v>170</v>
      </c>
      <c r="Q91" s="225"/>
      <c r="R91" s="602" t="s">
        <v>253</v>
      </c>
      <c r="S91" s="225"/>
      <c r="T91" s="602" t="s">
        <v>254</v>
      </c>
      <c r="U91" s="225"/>
      <c r="V91" s="602" t="s">
        <v>253</v>
      </c>
      <c r="W91" s="225"/>
      <c r="X91" s="602" t="s">
        <v>255</v>
      </c>
      <c r="Y91" s="602" t="s">
        <v>256</v>
      </c>
      <c r="Z91" s="602" t="str">
        <f t="shared" si="51"/>
        <v/>
      </c>
      <c r="AA91" s="603" t="s">
        <v>257</v>
      </c>
      <c r="AB91" s="604" t="str">
        <f t="shared" si="52"/>
        <v/>
      </c>
      <c r="AC91" s="605" t="str">
        <f>IFERROR(ROUNDDOWN(ROUNDDOWN(ROUND(L91*VLOOKUP(K91,【参考】数式用!$A$4:$F$57,MATCH("処遇改善加算Ⅳ",【参考】数式用!$C$3:$F$3,0)+2,0),0)*M91,0)*Z91*0.5,0), "")</f>
        <v/>
      </c>
      <c r="AD91" s="245"/>
      <c r="AE91" s="246"/>
      <c r="AF91" s="246"/>
      <c r="AG91" s="247"/>
      <c r="AH91" s="248"/>
      <c r="AI91" s="249"/>
      <c r="AJ91" s="250"/>
      <c r="AK91" s="606" t="str">
        <f t="shared" si="38"/>
        <v/>
      </c>
      <c r="AL91" s="607" t="str">
        <f t="shared" si="34"/>
        <v/>
      </c>
      <c r="AM91" s="608"/>
      <c r="AN91" s="609" t="str">
        <f>IFERROR(VLOOKUP(K91,【参考】数式用!$A$2:$N$57,14,FALSE),"")</f>
        <v/>
      </c>
      <c r="AO91" s="609" t="str">
        <f t="shared" si="39"/>
        <v/>
      </c>
      <c r="AP91" s="610" t="str">
        <f t="shared" si="40"/>
        <v/>
      </c>
      <c r="AQ91" s="611" t="str">
        <f t="shared" si="41"/>
        <v>入力済</v>
      </c>
      <c r="AR91" s="609" t="str">
        <f t="shared" si="42"/>
        <v/>
      </c>
      <c r="AS91" s="611" t="str">
        <f t="shared" si="43"/>
        <v>入力済</v>
      </c>
      <c r="AT91" s="611" t="str">
        <f t="shared" si="44"/>
        <v/>
      </c>
      <c r="AU91" s="611" t="str">
        <f t="shared" si="45"/>
        <v/>
      </c>
      <c r="AV91" s="609" t="str">
        <f t="shared" si="46"/>
        <v/>
      </c>
      <c r="AW91" s="609" t="str">
        <f t="shared" si="37"/>
        <v>入力済</v>
      </c>
      <c r="AX91" s="611" t="str">
        <f>IFERROR(VLOOKUP(K91,【参考】数式用!$AR$3:$AS$49,2, FALSE), "")</f>
        <v/>
      </c>
      <c r="AY91" s="609" t="str">
        <f t="shared" si="47"/>
        <v/>
      </c>
      <c r="AZ91" s="612" t="str">
        <f t="shared" si="48"/>
        <v>入力済</v>
      </c>
      <c r="BA91" s="611" t="str">
        <f>IFERROR(VLOOKUP(K91,【参考】数式用!$AX$3:$AY$59, 2, FALSE), "")</f>
        <v/>
      </c>
      <c r="BB91" s="609" t="str">
        <f t="shared" si="35"/>
        <v/>
      </c>
      <c r="BC91" s="612" t="str">
        <f t="shared" si="36"/>
        <v>入力済</v>
      </c>
      <c r="BD91" s="613" t="str">
        <f t="shared" si="49"/>
        <v/>
      </c>
      <c r="BE91" s="613" t="str">
        <f t="shared" si="50"/>
        <v/>
      </c>
    </row>
    <row r="92" spans="1:57" ht="109.9" customHeight="1" thickBot="1">
      <c r="A92" s="599">
        <v>81</v>
      </c>
      <c r="B92" s="913" t="str">
        <f>IF(基本情報入力シート!B120="","",基本情報入力シート!B120)</f>
        <v/>
      </c>
      <c r="C92" s="914"/>
      <c r="D92" s="914"/>
      <c r="E92" s="914"/>
      <c r="F92" s="915"/>
      <c r="G92" s="600" t="str">
        <f>IF(基本情報入力シート!L120="", "", 基本情報入力シート!L120)</f>
        <v/>
      </c>
      <c r="H92" s="600" t="str">
        <f>IF(基本情報入力シート!Q120="", "", 基本情報入力シート!Q120)</f>
        <v/>
      </c>
      <c r="I92" s="600" t="str">
        <f>IF(基本情報入力シート!V120="", "", 基本情報入力シート!V120)</f>
        <v/>
      </c>
      <c r="J92" s="600" t="str">
        <f>IF(基本情報入力シート!W120="", "", 基本情報入力シート!W120)</f>
        <v/>
      </c>
      <c r="K92" s="600"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01" t="s">
        <v>170</v>
      </c>
      <c r="Q92" s="225"/>
      <c r="R92" s="602" t="s">
        <v>253</v>
      </c>
      <c r="S92" s="225"/>
      <c r="T92" s="602" t="s">
        <v>254</v>
      </c>
      <c r="U92" s="225"/>
      <c r="V92" s="602" t="s">
        <v>253</v>
      </c>
      <c r="W92" s="225"/>
      <c r="X92" s="602" t="s">
        <v>255</v>
      </c>
      <c r="Y92" s="602" t="s">
        <v>256</v>
      </c>
      <c r="Z92" s="602" t="str">
        <f t="shared" si="51"/>
        <v/>
      </c>
      <c r="AA92" s="603" t="s">
        <v>257</v>
      </c>
      <c r="AB92" s="604" t="str">
        <f t="shared" si="52"/>
        <v/>
      </c>
      <c r="AC92" s="605" t="str">
        <f>IFERROR(ROUNDDOWN(ROUNDDOWN(ROUND(L92*VLOOKUP(K92,【参考】数式用!$A$4:$F$57,MATCH("処遇改善加算Ⅳ",【参考】数式用!$C$3:$F$3,0)+2,0),0)*M92,0)*Z92*0.5,0), "")</f>
        <v/>
      </c>
      <c r="AD92" s="245"/>
      <c r="AE92" s="246"/>
      <c r="AF92" s="246"/>
      <c r="AG92" s="247"/>
      <c r="AH92" s="248"/>
      <c r="AI92" s="249"/>
      <c r="AJ92" s="250"/>
      <c r="AK92" s="606" t="str">
        <f t="shared" si="38"/>
        <v/>
      </c>
      <c r="AL92" s="607" t="str">
        <f t="shared" si="34"/>
        <v/>
      </c>
      <c r="AM92" s="608"/>
      <c r="AN92" s="609" t="str">
        <f>IFERROR(VLOOKUP(K92,【参考】数式用!$A$2:$N$57,14,FALSE),"")</f>
        <v/>
      </c>
      <c r="AO92" s="609" t="str">
        <f t="shared" si="39"/>
        <v/>
      </c>
      <c r="AP92" s="610" t="str">
        <f t="shared" si="40"/>
        <v/>
      </c>
      <c r="AQ92" s="611" t="str">
        <f t="shared" si="41"/>
        <v>入力済</v>
      </c>
      <c r="AR92" s="609" t="str">
        <f t="shared" si="42"/>
        <v/>
      </c>
      <c r="AS92" s="611" t="str">
        <f t="shared" si="43"/>
        <v>入力済</v>
      </c>
      <c r="AT92" s="611" t="str">
        <f t="shared" si="44"/>
        <v/>
      </c>
      <c r="AU92" s="611" t="str">
        <f t="shared" si="45"/>
        <v/>
      </c>
      <c r="AV92" s="609" t="str">
        <f t="shared" si="46"/>
        <v/>
      </c>
      <c r="AW92" s="609" t="str">
        <f t="shared" si="37"/>
        <v>入力済</v>
      </c>
      <c r="AX92" s="611" t="str">
        <f>IFERROR(VLOOKUP(K92,【参考】数式用!$AR$3:$AS$49,2, FALSE), "")</f>
        <v/>
      </c>
      <c r="AY92" s="609" t="str">
        <f t="shared" si="47"/>
        <v/>
      </c>
      <c r="AZ92" s="612" t="str">
        <f t="shared" si="48"/>
        <v>入力済</v>
      </c>
      <c r="BA92" s="611" t="str">
        <f>IFERROR(VLOOKUP(K92,【参考】数式用!$AX$3:$AY$59, 2, FALSE), "")</f>
        <v/>
      </c>
      <c r="BB92" s="609" t="str">
        <f t="shared" si="35"/>
        <v/>
      </c>
      <c r="BC92" s="612" t="str">
        <f t="shared" si="36"/>
        <v>入力済</v>
      </c>
      <c r="BD92" s="613" t="str">
        <f t="shared" si="49"/>
        <v/>
      </c>
      <c r="BE92" s="613" t="str">
        <f t="shared" si="50"/>
        <v/>
      </c>
    </row>
    <row r="93" spans="1:57" ht="109.9" customHeight="1" thickBot="1">
      <c r="A93" s="599">
        <v>82</v>
      </c>
      <c r="B93" s="913" t="str">
        <f>IF(基本情報入力シート!B121="","",基本情報入力シート!B121)</f>
        <v/>
      </c>
      <c r="C93" s="914"/>
      <c r="D93" s="914"/>
      <c r="E93" s="914"/>
      <c r="F93" s="915"/>
      <c r="G93" s="600" t="str">
        <f>IF(基本情報入力シート!L121="", "", 基本情報入力シート!L121)</f>
        <v/>
      </c>
      <c r="H93" s="600" t="str">
        <f>IF(基本情報入力シート!Q121="", "", 基本情報入力シート!Q121)</f>
        <v/>
      </c>
      <c r="I93" s="600" t="str">
        <f>IF(基本情報入力シート!V121="", "", 基本情報入力シート!V121)</f>
        <v/>
      </c>
      <c r="J93" s="600" t="str">
        <f>IF(基本情報入力シート!W121="", "", 基本情報入力シート!W121)</f>
        <v/>
      </c>
      <c r="K93" s="600"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01" t="s">
        <v>170</v>
      </c>
      <c r="Q93" s="225"/>
      <c r="R93" s="602" t="s">
        <v>253</v>
      </c>
      <c r="S93" s="225"/>
      <c r="T93" s="602" t="s">
        <v>254</v>
      </c>
      <c r="U93" s="225"/>
      <c r="V93" s="602" t="s">
        <v>253</v>
      </c>
      <c r="W93" s="225"/>
      <c r="X93" s="602" t="s">
        <v>172</v>
      </c>
      <c r="Y93" s="602" t="s">
        <v>256</v>
      </c>
      <c r="Z93" s="602" t="str">
        <f t="shared" si="51"/>
        <v/>
      </c>
      <c r="AA93" s="603" t="s">
        <v>257</v>
      </c>
      <c r="AB93" s="604" t="str">
        <f t="shared" si="52"/>
        <v/>
      </c>
      <c r="AC93" s="605" t="str">
        <f>IFERROR(ROUNDDOWN(ROUNDDOWN(ROUND(L93*VLOOKUP(K93,【参考】数式用!$A$4:$F$57,MATCH("処遇改善加算Ⅳ",【参考】数式用!$C$3:$F$3,0)+2,0),0)*M93,0)*Z93*0.5,0), "")</f>
        <v/>
      </c>
      <c r="AD93" s="245"/>
      <c r="AE93" s="246"/>
      <c r="AF93" s="246"/>
      <c r="AG93" s="247"/>
      <c r="AH93" s="248"/>
      <c r="AI93" s="249"/>
      <c r="AJ93" s="250"/>
      <c r="AK93" s="606" t="str">
        <f t="shared" si="38"/>
        <v/>
      </c>
      <c r="AL93" s="607" t="str">
        <f t="shared" si="34"/>
        <v/>
      </c>
      <c r="AM93" s="608"/>
      <c r="AN93" s="609" t="str">
        <f>IFERROR(VLOOKUP(K93,【参考】数式用!$A$2:$N$57,14,FALSE),"")</f>
        <v/>
      </c>
      <c r="AO93" s="609" t="str">
        <f t="shared" si="39"/>
        <v/>
      </c>
      <c r="AP93" s="610" t="str">
        <f t="shared" si="40"/>
        <v/>
      </c>
      <c r="AQ93" s="611" t="str">
        <f t="shared" si="41"/>
        <v>入力済</v>
      </c>
      <c r="AR93" s="609" t="str">
        <f t="shared" si="42"/>
        <v/>
      </c>
      <c r="AS93" s="611" t="str">
        <f t="shared" si="43"/>
        <v>入力済</v>
      </c>
      <c r="AT93" s="611" t="str">
        <f t="shared" si="44"/>
        <v/>
      </c>
      <c r="AU93" s="611" t="str">
        <f t="shared" si="45"/>
        <v/>
      </c>
      <c r="AV93" s="609" t="str">
        <f t="shared" si="46"/>
        <v/>
      </c>
      <c r="AW93" s="609" t="str">
        <f t="shared" si="37"/>
        <v>入力済</v>
      </c>
      <c r="AX93" s="611" t="str">
        <f>IFERROR(VLOOKUP(K93,【参考】数式用!$AR$3:$AS$49,2, FALSE), "")</f>
        <v/>
      </c>
      <c r="AY93" s="609" t="str">
        <f t="shared" si="47"/>
        <v/>
      </c>
      <c r="AZ93" s="612" t="str">
        <f t="shared" si="48"/>
        <v>入力済</v>
      </c>
      <c r="BA93" s="611" t="str">
        <f>IFERROR(VLOOKUP(K93,【参考】数式用!$AX$3:$AY$59, 2, FALSE), "")</f>
        <v/>
      </c>
      <c r="BB93" s="609" t="str">
        <f t="shared" si="35"/>
        <v/>
      </c>
      <c r="BC93" s="612" t="str">
        <f t="shared" si="36"/>
        <v>入力済</v>
      </c>
      <c r="BD93" s="613" t="str">
        <f t="shared" si="49"/>
        <v/>
      </c>
      <c r="BE93" s="613" t="str">
        <f t="shared" si="50"/>
        <v/>
      </c>
    </row>
    <row r="94" spans="1:57" ht="109.9" customHeight="1" thickBot="1">
      <c r="A94" s="599">
        <v>83</v>
      </c>
      <c r="B94" s="913" t="str">
        <f>IF(基本情報入力シート!B122="","",基本情報入力シート!B122)</f>
        <v/>
      </c>
      <c r="C94" s="914"/>
      <c r="D94" s="914"/>
      <c r="E94" s="914"/>
      <c r="F94" s="915"/>
      <c r="G94" s="600" t="str">
        <f>IF(基本情報入力シート!L122="", "", 基本情報入力シート!L122)</f>
        <v/>
      </c>
      <c r="H94" s="600" t="str">
        <f>IF(基本情報入力シート!Q122="", "", 基本情報入力シート!Q122)</f>
        <v/>
      </c>
      <c r="I94" s="600" t="str">
        <f>IF(基本情報入力シート!V122="", "", 基本情報入力シート!V122)</f>
        <v/>
      </c>
      <c r="J94" s="600" t="str">
        <f>IF(基本情報入力シート!W122="", "", 基本情報入力シート!W122)</f>
        <v/>
      </c>
      <c r="K94" s="600"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01" t="s">
        <v>170</v>
      </c>
      <c r="Q94" s="225"/>
      <c r="R94" s="602" t="s">
        <v>253</v>
      </c>
      <c r="S94" s="225"/>
      <c r="T94" s="602" t="s">
        <v>254</v>
      </c>
      <c r="U94" s="225"/>
      <c r="V94" s="602" t="s">
        <v>253</v>
      </c>
      <c r="W94" s="225"/>
      <c r="X94" s="602" t="s">
        <v>255</v>
      </c>
      <c r="Y94" s="602" t="s">
        <v>256</v>
      </c>
      <c r="Z94" s="602" t="str">
        <f t="shared" si="51"/>
        <v/>
      </c>
      <c r="AA94" s="603" t="s">
        <v>257</v>
      </c>
      <c r="AB94" s="604" t="str">
        <f t="shared" si="52"/>
        <v/>
      </c>
      <c r="AC94" s="605" t="str">
        <f>IFERROR(ROUNDDOWN(ROUNDDOWN(ROUND(L94*VLOOKUP(K94,【参考】数式用!$A$4:$F$57,MATCH("処遇改善加算Ⅳ",【参考】数式用!$C$3:$F$3,0)+2,0),0)*M94,0)*Z94*0.5,0), "")</f>
        <v/>
      </c>
      <c r="AD94" s="245"/>
      <c r="AE94" s="246"/>
      <c r="AF94" s="246"/>
      <c r="AG94" s="247"/>
      <c r="AH94" s="248"/>
      <c r="AI94" s="249"/>
      <c r="AJ94" s="250"/>
      <c r="AK94" s="606" t="str">
        <f t="shared" si="38"/>
        <v/>
      </c>
      <c r="AL94" s="607" t="str">
        <f t="shared" si="34"/>
        <v/>
      </c>
      <c r="AM94" s="608"/>
      <c r="AN94" s="609" t="str">
        <f>IFERROR(VLOOKUP(K94,【参考】数式用!$A$2:$N$57,14,FALSE),"")</f>
        <v/>
      </c>
      <c r="AO94" s="609" t="str">
        <f t="shared" si="39"/>
        <v/>
      </c>
      <c r="AP94" s="610" t="str">
        <f t="shared" si="40"/>
        <v/>
      </c>
      <c r="AQ94" s="611" t="str">
        <f t="shared" si="41"/>
        <v>入力済</v>
      </c>
      <c r="AR94" s="609" t="str">
        <f t="shared" si="42"/>
        <v/>
      </c>
      <c r="AS94" s="611" t="str">
        <f t="shared" si="43"/>
        <v>入力済</v>
      </c>
      <c r="AT94" s="611" t="str">
        <f t="shared" si="44"/>
        <v/>
      </c>
      <c r="AU94" s="611" t="str">
        <f t="shared" si="45"/>
        <v/>
      </c>
      <c r="AV94" s="609" t="str">
        <f t="shared" si="46"/>
        <v/>
      </c>
      <c r="AW94" s="609" t="str">
        <f t="shared" si="37"/>
        <v>入力済</v>
      </c>
      <c r="AX94" s="611" t="str">
        <f>IFERROR(VLOOKUP(K94,【参考】数式用!$AR$3:$AS$49,2, FALSE), "")</f>
        <v/>
      </c>
      <c r="AY94" s="609" t="str">
        <f t="shared" si="47"/>
        <v/>
      </c>
      <c r="AZ94" s="612" t="str">
        <f t="shared" si="48"/>
        <v>入力済</v>
      </c>
      <c r="BA94" s="611" t="str">
        <f>IFERROR(VLOOKUP(K94,【参考】数式用!$AX$3:$AY$59, 2, FALSE), "")</f>
        <v/>
      </c>
      <c r="BB94" s="609" t="str">
        <f t="shared" si="35"/>
        <v/>
      </c>
      <c r="BC94" s="612" t="str">
        <f t="shared" si="36"/>
        <v>入力済</v>
      </c>
      <c r="BD94" s="613" t="str">
        <f t="shared" si="49"/>
        <v/>
      </c>
      <c r="BE94" s="613" t="str">
        <f t="shared" si="50"/>
        <v/>
      </c>
    </row>
    <row r="95" spans="1:57" ht="109.9" customHeight="1" thickBot="1">
      <c r="A95" s="599">
        <v>84</v>
      </c>
      <c r="B95" s="913" t="str">
        <f>IF(基本情報入力シート!B123="","",基本情報入力シート!B123)</f>
        <v/>
      </c>
      <c r="C95" s="914"/>
      <c r="D95" s="914"/>
      <c r="E95" s="914"/>
      <c r="F95" s="915"/>
      <c r="G95" s="600" t="str">
        <f>IF(基本情報入力シート!L123="", "", 基本情報入力シート!L123)</f>
        <v/>
      </c>
      <c r="H95" s="600" t="str">
        <f>IF(基本情報入力シート!Q123="", "", 基本情報入力シート!Q123)</f>
        <v/>
      </c>
      <c r="I95" s="600" t="str">
        <f>IF(基本情報入力シート!V123="", "", 基本情報入力シート!V123)</f>
        <v/>
      </c>
      <c r="J95" s="600" t="str">
        <f>IF(基本情報入力シート!W123="", "", 基本情報入力シート!W123)</f>
        <v/>
      </c>
      <c r="K95" s="600"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01" t="s">
        <v>170</v>
      </c>
      <c r="Q95" s="225"/>
      <c r="R95" s="602" t="s">
        <v>253</v>
      </c>
      <c r="S95" s="225"/>
      <c r="T95" s="602" t="s">
        <v>254</v>
      </c>
      <c r="U95" s="225"/>
      <c r="V95" s="602" t="s">
        <v>253</v>
      </c>
      <c r="W95" s="225"/>
      <c r="X95" s="602" t="s">
        <v>255</v>
      </c>
      <c r="Y95" s="602" t="s">
        <v>256</v>
      </c>
      <c r="Z95" s="602" t="str">
        <f t="shared" si="51"/>
        <v/>
      </c>
      <c r="AA95" s="603" t="s">
        <v>257</v>
      </c>
      <c r="AB95" s="604" t="str">
        <f t="shared" si="52"/>
        <v/>
      </c>
      <c r="AC95" s="605" t="str">
        <f>IFERROR(ROUNDDOWN(ROUNDDOWN(ROUND(L95*VLOOKUP(K95,【参考】数式用!$A$4:$F$57,MATCH("処遇改善加算Ⅳ",【参考】数式用!$C$3:$F$3,0)+2,0),0)*M95,0)*Z95*0.5,0), "")</f>
        <v/>
      </c>
      <c r="AD95" s="245"/>
      <c r="AE95" s="246"/>
      <c r="AF95" s="246"/>
      <c r="AG95" s="247"/>
      <c r="AH95" s="248"/>
      <c r="AI95" s="249"/>
      <c r="AJ95" s="250"/>
      <c r="AK95" s="606" t="str">
        <f t="shared" si="38"/>
        <v/>
      </c>
      <c r="AL95" s="607" t="str">
        <f t="shared" si="34"/>
        <v/>
      </c>
      <c r="AM95" s="608"/>
      <c r="AN95" s="609" t="str">
        <f>IFERROR(VLOOKUP(K95,【参考】数式用!$A$2:$N$57,14,FALSE),"")</f>
        <v/>
      </c>
      <c r="AO95" s="609" t="str">
        <f t="shared" si="39"/>
        <v/>
      </c>
      <c r="AP95" s="610" t="str">
        <f t="shared" si="40"/>
        <v/>
      </c>
      <c r="AQ95" s="611" t="str">
        <f t="shared" si="41"/>
        <v>入力済</v>
      </c>
      <c r="AR95" s="609" t="str">
        <f t="shared" si="42"/>
        <v/>
      </c>
      <c r="AS95" s="611" t="str">
        <f t="shared" si="43"/>
        <v>入力済</v>
      </c>
      <c r="AT95" s="611" t="str">
        <f t="shared" si="44"/>
        <v/>
      </c>
      <c r="AU95" s="611" t="str">
        <f t="shared" si="45"/>
        <v/>
      </c>
      <c r="AV95" s="609" t="str">
        <f t="shared" si="46"/>
        <v/>
      </c>
      <c r="AW95" s="609" t="str">
        <f t="shared" si="37"/>
        <v>入力済</v>
      </c>
      <c r="AX95" s="611" t="str">
        <f>IFERROR(VLOOKUP(K95,【参考】数式用!$AR$3:$AS$49,2, FALSE), "")</f>
        <v/>
      </c>
      <c r="AY95" s="609" t="str">
        <f t="shared" si="47"/>
        <v/>
      </c>
      <c r="AZ95" s="612" t="str">
        <f t="shared" si="48"/>
        <v>入力済</v>
      </c>
      <c r="BA95" s="611" t="str">
        <f>IFERROR(VLOOKUP(K95,【参考】数式用!$AX$3:$AY$59, 2, FALSE), "")</f>
        <v/>
      </c>
      <c r="BB95" s="609" t="str">
        <f t="shared" si="35"/>
        <v/>
      </c>
      <c r="BC95" s="612" t="str">
        <f t="shared" si="36"/>
        <v>入力済</v>
      </c>
      <c r="BD95" s="613" t="str">
        <f t="shared" si="49"/>
        <v/>
      </c>
      <c r="BE95" s="613" t="str">
        <f t="shared" si="50"/>
        <v/>
      </c>
    </row>
    <row r="96" spans="1:57" ht="109.9" customHeight="1" thickBot="1">
      <c r="A96" s="599">
        <v>85</v>
      </c>
      <c r="B96" s="913" t="str">
        <f>IF(基本情報入力シート!B124="","",基本情報入力シート!B124)</f>
        <v/>
      </c>
      <c r="C96" s="914"/>
      <c r="D96" s="914"/>
      <c r="E96" s="914"/>
      <c r="F96" s="915"/>
      <c r="G96" s="600" t="str">
        <f>IF(基本情報入力シート!L124="", "", 基本情報入力シート!L124)</f>
        <v/>
      </c>
      <c r="H96" s="600" t="str">
        <f>IF(基本情報入力シート!Q124="", "", 基本情報入力シート!Q124)</f>
        <v/>
      </c>
      <c r="I96" s="600" t="str">
        <f>IF(基本情報入力シート!V124="", "", 基本情報入力シート!V124)</f>
        <v/>
      </c>
      <c r="J96" s="600" t="str">
        <f>IF(基本情報入力シート!W124="", "", 基本情報入力シート!W124)</f>
        <v/>
      </c>
      <c r="K96" s="600"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01" t="s">
        <v>170</v>
      </c>
      <c r="Q96" s="225"/>
      <c r="R96" s="602" t="s">
        <v>253</v>
      </c>
      <c r="S96" s="225"/>
      <c r="T96" s="602" t="s">
        <v>254</v>
      </c>
      <c r="U96" s="225"/>
      <c r="V96" s="602" t="s">
        <v>253</v>
      </c>
      <c r="W96" s="225"/>
      <c r="X96" s="602" t="s">
        <v>255</v>
      </c>
      <c r="Y96" s="602" t="s">
        <v>256</v>
      </c>
      <c r="Z96" s="602" t="str">
        <f t="shared" si="51"/>
        <v/>
      </c>
      <c r="AA96" s="603" t="s">
        <v>257</v>
      </c>
      <c r="AB96" s="604" t="str">
        <f t="shared" si="52"/>
        <v/>
      </c>
      <c r="AC96" s="605" t="str">
        <f>IFERROR(ROUNDDOWN(ROUNDDOWN(ROUND(L96*VLOOKUP(K96,【参考】数式用!$A$4:$F$57,MATCH("処遇改善加算Ⅳ",【参考】数式用!$C$3:$F$3,0)+2,0),0)*M96,0)*Z96*0.5,0), "")</f>
        <v/>
      </c>
      <c r="AD96" s="245"/>
      <c r="AE96" s="246"/>
      <c r="AF96" s="246"/>
      <c r="AG96" s="247"/>
      <c r="AH96" s="248"/>
      <c r="AI96" s="249"/>
      <c r="AJ96" s="250"/>
      <c r="AK96" s="606" t="str">
        <f t="shared" si="38"/>
        <v/>
      </c>
      <c r="AL96" s="607" t="str">
        <f t="shared" si="34"/>
        <v/>
      </c>
      <c r="AM96" s="608"/>
      <c r="AN96" s="609" t="str">
        <f>IFERROR(VLOOKUP(K96,【参考】数式用!$A$2:$N$57,14,FALSE),"")</f>
        <v/>
      </c>
      <c r="AO96" s="609" t="str">
        <f t="shared" si="39"/>
        <v/>
      </c>
      <c r="AP96" s="610" t="str">
        <f t="shared" si="40"/>
        <v/>
      </c>
      <c r="AQ96" s="611" t="str">
        <f t="shared" si="41"/>
        <v>入力済</v>
      </c>
      <c r="AR96" s="609" t="str">
        <f t="shared" si="42"/>
        <v/>
      </c>
      <c r="AS96" s="611" t="str">
        <f t="shared" si="43"/>
        <v>入力済</v>
      </c>
      <c r="AT96" s="611" t="str">
        <f t="shared" si="44"/>
        <v/>
      </c>
      <c r="AU96" s="611" t="str">
        <f t="shared" si="45"/>
        <v/>
      </c>
      <c r="AV96" s="609" t="str">
        <f t="shared" si="46"/>
        <v/>
      </c>
      <c r="AW96" s="609" t="str">
        <f t="shared" si="37"/>
        <v>入力済</v>
      </c>
      <c r="AX96" s="611" t="str">
        <f>IFERROR(VLOOKUP(K96,【参考】数式用!$AR$3:$AS$49,2, FALSE), "")</f>
        <v/>
      </c>
      <c r="AY96" s="609" t="str">
        <f t="shared" si="47"/>
        <v/>
      </c>
      <c r="AZ96" s="612" t="str">
        <f t="shared" si="48"/>
        <v>入力済</v>
      </c>
      <c r="BA96" s="611" t="str">
        <f>IFERROR(VLOOKUP(K96,【参考】数式用!$AX$3:$AY$59, 2, FALSE), "")</f>
        <v/>
      </c>
      <c r="BB96" s="609" t="str">
        <f t="shared" si="35"/>
        <v/>
      </c>
      <c r="BC96" s="612" t="str">
        <f t="shared" si="36"/>
        <v>入力済</v>
      </c>
      <c r="BD96" s="613" t="str">
        <f t="shared" si="49"/>
        <v/>
      </c>
      <c r="BE96" s="613" t="str">
        <f t="shared" si="50"/>
        <v/>
      </c>
    </row>
    <row r="97" spans="1:57" ht="109.9" customHeight="1" thickBot="1">
      <c r="A97" s="599">
        <v>86</v>
      </c>
      <c r="B97" s="913" t="str">
        <f>IF(基本情報入力シート!B125="","",基本情報入力シート!B125)</f>
        <v/>
      </c>
      <c r="C97" s="914"/>
      <c r="D97" s="914"/>
      <c r="E97" s="914"/>
      <c r="F97" s="915"/>
      <c r="G97" s="600" t="str">
        <f>IF(基本情報入力シート!L125="", "", 基本情報入力シート!L125)</f>
        <v/>
      </c>
      <c r="H97" s="600" t="str">
        <f>IF(基本情報入力シート!Q125="", "", 基本情報入力シート!Q125)</f>
        <v/>
      </c>
      <c r="I97" s="600" t="str">
        <f>IF(基本情報入力シート!V125="", "", 基本情報入力シート!V125)</f>
        <v/>
      </c>
      <c r="J97" s="600" t="str">
        <f>IF(基本情報入力シート!W125="", "", 基本情報入力シート!W125)</f>
        <v/>
      </c>
      <c r="K97" s="600"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01" t="s">
        <v>170</v>
      </c>
      <c r="Q97" s="225"/>
      <c r="R97" s="602" t="s">
        <v>253</v>
      </c>
      <c r="S97" s="225"/>
      <c r="T97" s="602" t="s">
        <v>254</v>
      </c>
      <c r="U97" s="225"/>
      <c r="V97" s="602" t="s">
        <v>253</v>
      </c>
      <c r="W97" s="225"/>
      <c r="X97" s="602" t="s">
        <v>172</v>
      </c>
      <c r="Y97" s="602" t="s">
        <v>256</v>
      </c>
      <c r="Z97" s="602" t="str">
        <f t="shared" si="51"/>
        <v/>
      </c>
      <c r="AA97" s="603" t="s">
        <v>257</v>
      </c>
      <c r="AB97" s="604" t="str">
        <f t="shared" si="52"/>
        <v/>
      </c>
      <c r="AC97" s="605" t="str">
        <f>IFERROR(ROUNDDOWN(ROUNDDOWN(ROUND(L97*VLOOKUP(K97,【参考】数式用!$A$4:$F$57,MATCH("処遇改善加算Ⅳ",【参考】数式用!$C$3:$F$3,0)+2,0),0)*M97,0)*Z97*0.5,0), "")</f>
        <v/>
      </c>
      <c r="AD97" s="245"/>
      <c r="AE97" s="246"/>
      <c r="AF97" s="246"/>
      <c r="AG97" s="247"/>
      <c r="AH97" s="248"/>
      <c r="AI97" s="249"/>
      <c r="AJ97" s="250"/>
      <c r="AK97" s="606" t="str">
        <f t="shared" si="38"/>
        <v/>
      </c>
      <c r="AL97" s="607" t="str">
        <f t="shared" si="34"/>
        <v/>
      </c>
      <c r="AM97" s="608"/>
      <c r="AN97" s="609" t="str">
        <f>IFERROR(VLOOKUP(K97,【参考】数式用!$A$2:$N$57,14,FALSE),"")</f>
        <v/>
      </c>
      <c r="AO97" s="609" t="str">
        <f t="shared" si="39"/>
        <v/>
      </c>
      <c r="AP97" s="610" t="str">
        <f t="shared" si="40"/>
        <v/>
      </c>
      <c r="AQ97" s="611" t="str">
        <f t="shared" si="41"/>
        <v>入力済</v>
      </c>
      <c r="AR97" s="609" t="str">
        <f t="shared" si="42"/>
        <v/>
      </c>
      <c r="AS97" s="611" t="str">
        <f t="shared" si="43"/>
        <v>入力済</v>
      </c>
      <c r="AT97" s="611" t="str">
        <f t="shared" si="44"/>
        <v/>
      </c>
      <c r="AU97" s="611" t="str">
        <f t="shared" si="45"/>
        <v/>
      </c>
      <c r="AV97" s="609" t="str">
        <f t="shared" si="46"/>
        <v/>
      </c>
      <c r="AW97" s="609" t="str">
        <f t="shared" si="37"/>
        <v>入力済</v>
      </c>
      <c r="AX97" s="611" t="str">
        <f>IFERROR(VLOOKUP(K97,【参考】数式用!$AR$3:$AS$49,2, FALSE), "")</f>
        <v/>
      </c>
      <c r="AY97" s="609" t="str">
        <f t="shared" si="47"/>
        <v/>
      </c>
      <c r="AZ97" s="612" t="str">
        <f t="shared" si="48"/>
        <v>入力済</v>
      </c>
      <c r="BA97" s="611" t="str">
        <f>IFERROR(VLOOKUP(K97,【参考】数式用!$AX$3:$AY$59, 2, FALSE), "")</f>
        <v/>
      </c>
      <c r="BB97" s="609" t="str">
        <f t="shared" si="35"/>
        <v/>
      </c>
      <c r="BC97" s="612" t="str">
        <f t="shared" si="36"/>
        <v>入力済</v>
      </c>
      <c r="BD97" s="613" t="str">
        <f t="shared" si="49"/>
        <v/>
      </c>
      <c r="BE97" s="613" t="str">
        <f t="shared" si="50"/>
        <v/>
      </c>
    </row>
    <row r="98" spans="1:57" ht="109.9" customHeight="1" thickBot="1">
      <c r="A98" s="599">
        <v>87</v>
      </c>
      <c r="B98" s="913" t="str">
        <f>IF(基本情報入力シート!B126="","",基本情報入力シート!B126)</f>
        <v/>
      </c>
      <c r="C98" s="914"/>
      <c r="D98" s="914"/>
      <c r="E98" s="914"/>
      <c r="F98" s="915"/>
      <c r="G98" s="600" t="str">
        <f>IF(基本情報入力シート!L126="", "", 基本情報入力シート!L126)</f>
        <v/>
      </c>
      <c r="H98" s="600" t="str">
        <f>IF(基本情報入力シート!Q126="", "", 基本情報入力シート!Q126)</f>
        <v/>
      </c>
      <c r="I98" s="600" t="str">
        <f>IF(基本情報入力シート!V126="", "", 基本情報入力シート!V126)</f>
        <v/>
      </c>
      <c r="J98" s="600" t="str">
        <f>IF(基本情報入力シート!W126="", "", 基本情報入力シート!W126)</f>
        <v/>
      </c>
      <c r="K98" s="600"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01" t="s">
        <v>170</v>
      </c>
      <c r="Q98" s="225"/>
      <c r="R98" s="602" t="s">
        <v>253</v>
      </c>
      <c r="S98" s="225"/>
      <c r="T98" s="602" t="s">
        <v>254</v>
      </c>
      <c r="U98" s="225"/>
      <c r="V98" s="602" t="s">
        <v>253</v>
      </c>
      <c r="W98" s="225"/>
      <c r="X98" s="602" t="s">
        <v>172</v>
      </c>
      <c r="Y98" s="602" t="s">
        <v>256</v>
      </c>
      <c r="Z98" s="602" t="str">
        <f t="shared" si="51"/>
        <v/>
      </c>
      <c r="AA98" s="603" t="s">
        <v>257</v>
      </c>
      <c r="AB98" s="604" t="str">
        <f t="shared" si="52"/>
        <v/>
      </c>
      <c r="AC98" s="605" t="str">
        <f>IFERROR(ROUNDDOWN(ROUNDDOWN(ROUND(L98*VLOOKUP(K98,【参考】数式用!$A$4:$F$57,MATCH("処遇改善加算Ⅳ",【参考】数式用!$C$3:$F$3,0)+2,0),0)*M98,0)*Z98*0.5,0), "")</f>
        <v/>
      </c>
      <c r="AD98" s="245"/>
      <c r="AE98" s="246"/>
      <c r="AF98" s="246"/>
      <c r="AG98" s="247"/>
      <c r="AH98" s="248"/>
      <c r="AI98" s="249"/>
      <c r="AJ98" s="250"/>
      <c r="AK98" s="606" t="str">
        <f t="shared" si="38"/>
        <v/>
      </c>
      <c r="AL98" s="607" t="str">
        <f t="shared" si="34"/>
        <v/>
      </c>
      <c r="AM98" s="608"/>
      <c r="AN98" s="609" t="str">
        <f>IFERROR(VLOOKUP(K98,【参考】数式用!$A$2:$N$57,14,FALSE),"")</f>
        <v/>
      </c>
      <c r="AO98" s="609" t="str">
        <f t="shared" si="39"/>
        <v/>
      </c>
      <c r="AP98" s="610" t="str">
        <f t="shared" si="40"/>
        <v/>
      </c>
      <c r="AQ98" s="611" t="str">
        <f t="shared" si="41"/>
        <v>入力済</v>
      </c>
      <c r="AR98" s="609" t="str">
        <f t="shared" si="42"/>
        <v/>
      </c>
      <c r="AS98" s="611" t="str">
        <f t="shared" si="43"/>
        <v>入力済</v>
      </c>
      <c r="AT98" s="611" t="str">
        <f t="shared" si="44"/>
        <v/>
      </c>
      <c r="AU98" s="611" t="str">
        <f t="shared" si="45"/>
        <v/>
      </c>
      <c r="AV98" s="609" t="str">
        <f t="shared" si="46"/>
        <v/>
      </c>
      <c r="AW98" s="609" t="str">
        <f t="shared" si="37"/>
        <v>入力済</v>
      </c>
      <c r="AX98" s="611" t="str">
        <f>IFERROR(VLOOKUP(K98,【参考】数式用!$AR$3:$AS$49,2, FALSE), "")</f>
        <v/>
      </c>
      <c r="AY98" s="609" t="str">
        <f t="shared" si="47"/>
        <v/>
      </c>
      <c r="AZ98" s="612" t="str">
        <f t="shared" si="48"/>
        <v>入力済</v>
      </c>
      <c r="BA98" s="611" t="str">
        <f>IFERROR(VLOOKUP(K98,【参考】数式用!$AX$3:$AY$59, 2, FALSE), "")</f>
        <v/>
      </c>
      <c r="BB98" s="609" t="str">
        <f t="shared" si="35"/>
        <v/>
      </c>
      <c r="BC98" s="612" t="str">
        <f t="shared" si="36"/>
        <v>入力済</v>
      </c>
      <c r="BD98" s="613" t="str">
        <f t="shared" si="49"/>
        <v/>
      </c>
      <c r="BE98" s="613" t="str">
        <f t="shared" si="50"/>
        <v/>
      </c>
    </row>
    <row r="99" spans="1:57" ht="109.9" customHeight="1" thickBot="1">
      <c r="A99" s="599">
        <v>88</v>
      </c>
      <c r="B99" s="913" t="str">
        <f>IF(基本情報入力シート!B127="","",基本情報入力シート!B127)</f>
        <v/>
      </c>
      <c r="C99" s="914"/>
      <c r="D99" s="914"/>
      <c r="E99" s="914"/>
      <c r="F99" s="915"/>
      <c r="G99" s="600" t="str">
        <f>IF(基本情報入力シート!L127="", "", 基本情報入力シート!L127)</f>
        <v/>
      </c>
      <c r="H99" s="600" t="str">
        <f>IF(基本情報入力シート!Q127="", "", 基本情報入力シート!Q127)</f>
        <v/>
      </c>
      <c r="I99" s="600" t="str">
        <f>IF(基本情報入力シート!V127="", "", 基本情報入力シート!V127)</f>
        <v/>
      </c>
      <c r="J99" s="600" t="str">
        <f>IF(基本情報入力シート!W127="", "", 基本情報入力シート!W127)</f>
        <v/>
      </c>
      <c r="K99" s="600"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01" t="s">
        <v>170</v>
      </c>
      <c r="Q99" s="225"/>
      <c r="R99" s="602" t="s">
        <v>253</v>
      </c>
      <c r="S99" s="225"/>
      <c r="T99" s="602" t="s">
        <v>254</v>
      </c>
      <c r="U99" s="225"/>
      <c r="V99" s="602" t="s">
        <v>253</v>
      </c>
      <c r="W99" s="225"/>
      <c r="X99" s="602" t="s">
        <v>255</v>
      </c>
      <c r="Y99" s="602" t="s">
        <v>256</v>
      </c>
      <c r="Z99" s="602" t="str">
        <f t="shared" si="51"/>
        <v/>
      </c>
      <c r="AA99" s="603" t="s">
        <v>257</v>
      </c>
      <c r="AB99" s="604" t="str">
        <f t="shared" si="52"/>
        <v/>
      </c>
      <c r="AC99" s="605" t="str">
        <f>IFERROR(ROUNDDOWN(ROUNDDOWN(ROUND(L99*VLOOKUP(K99,【参考】数式用!$A$4:$F$57,MATCH("処遇改善加算Ⅳ",【参考】数式用!$C$3:$F$3,0)+2,0),0)*M99,0)*Z99*0.5,0), "")</f>
        <v/>
      </c>
      <c r="AD99" s="245"/>
      <c r="AE99" s="246"/>
      <c r="AF99" s="246"/>
      <c r="AG99" s="247"/>
      <c r="AH99" s="248"/>
      <c r="AI99" s="249"/>
      <c r="AJ99" s="250"/>
      <c r="AK99" s="606" t="str">
        <f t="shared" si="38"/>
        <v/>
      </c>
      <c r="AL99" s="607" t="str">
        <f t="shared" si="34"/>
        <v/>
      </c>
      <c r="AM99" s="608"/>
      <c r="AN99" s="609" t="str">
        <f>IFERROR(VLOOKUP(K99,【参考】数式用!$A$2:$N$57,14,FALSE),"")</f>
        <v/>
      </c>
      <c r="AO99" s="609" t="str">
        <f t="shared" si="39"/>
        <v/>
      </c>
      <c r="AP99" s="610" t="str">
        <f t="shared" si="40"/>
        <v/>
      </c>
      <c r="AQ99" s="611" t="str">
        <f t="shared" si="41"/>
        <v>入力済</v>
      </c>
      <c r="AR99" s="609" t="str">
        <f t="shared" si="42"/>
        <v/>
      </c>
      <c r="AS99" s="611" t="str">
        <f t="shared" si="43"/>
        <v>入力済</v>
      </c>
      <c r="AT99" s="611" t="str">
        <f t="shared" si="44"/>
        <v/>
      </c>
      <c r="AU99" s="611" t="str">
        <f t="shared" si="45"/>
        <v/>
      </c>
      <c r="AV99" s="609" t="str">
        <f t="shared" si="46"/>
        <v/>
      </c>
      <c r="AW99" s="609" t="str">
        <f t="shared" si="37"/>
        <v>入力済</v>
      </c>
      <c r="AX99" s="611" t="str">
        <f>IFERROR(VLOOKUP(K99,【参考】数式用!$AR$3:$AS$49,2, FALSE), "")</f>
        <v/>
      </c>
      <c r="AY99" s="609" t="str">
        <f t="shared" si="47"/>
        <v/>
      </c>
      <c r="AZ99" s="612" t="str">
        <f t="shared" si="48"/>
        <v>入力済</v>
      </c>
      <c r="BA99" s="611" t="str">
        <f>IFERROR(VLOOKUP(K99,【参考】数式用!$AX$3:$AY$59, 2, FALSE), "")</f>
        <v/>
      </c>
      <c r="BB99" s="609" t="str">
        <f t="shared" si="35"/>
        <v/>
      </c>
      <c r="BC99" s="612" t="str">
        <f t="shared" si="36"/>
        <v>入力済</v>
      </c>
      <c r="BD99" s="613" t="str">
        <f t="shared" si="49"/>
        <v/>
      </c>
      <c r="BE99" s="613" t="str">
        <f t="shared" si="50"/>
        <v/>
      </c>
    </row>
    <row r="100" spans="1:57" ht="109.9" customHeight="1" thickBot="1">
      <c r="A100" s="599">
        <v>89</v>
      </c>
      <c r="B100" s="913" t="str">
        <f>IF(基本情報入力シート!B128="","",基本情報入力シート!B128)</f>
        <v/>
      </c>
      <c r="C100" s="914"/>
      <c r="D100" s="914"/>
      <c r="E100" s="914"/>
      <c r="F100" s="915"/>
      <c r="G100" s="600" t="str">
        <f>IF(基本情報入力シート!L128="", "", 基本情報入力シート!L128)</f>
        <v/>
      </c>
      <c r="H100" s="600" t="str">
        <f>IF(基本情報入力シート!Q128="", "", 基本情報入力シート!Q128)</f>
        <v/>
      </c>
      <c r="I100" s="600" t="str">
        <f>IF(基本情報入力シート!V128="", "", 基本情報入力シート!V128)</f>
        <v/>
      </c>
      <c r="J100" s="600" t="str">
        <f>IF(基本情報入力シート!W128="", "", 基本情報入力シート!W128)</f>
        <v/>
      </c>
      <c r="K100" s="600"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01" t="s">
        <v>170</v>
      </c>
      <c r="Q100" s="225"/>
      <c r="R100" s="602" t="s">
        <v>253</v>
      </c>
      <c r="S100" s="225"/>
      <c r="T100" s="602" t="s">
        <v>254</v>
      </c>
      <c r="U100" s="225"/>
      <c r="V100" s="602" t="s">
        <v>253</v>
      </c>
      <c r="W100" s="225"/>
      <c r="X100" s="602" t="s">
        <v>255</v>
      </c>
      <c r="Y100" s="602" t="s">
        <v>256</v>
      </c>
      <c r="Z100" s="602" t="str">
        <f t="shared" si="51"/>
        <v/>
      </c>
      <c r="AA100" s="603" t="s">
        <v>257</v>
      </c>
      <c r="AB100" s="604" t="str">
        <f t="shared" si="52"/>
        <v/>
      </c>
      <c r="AC100" s="605" t="str">
        <f>IFERROR(ROUNDDOWN(ROUNDDOWN(ROUND(L100*VLOOKUP(K100,【参考】数式用!$A$4:$F$57,MATCH("処遇改善加算Ⅳ",【参考】数式用!$C$3:$F$3,0)+2,0),0)*M100,0)*Z100*0.5,0), "")</f>
        <v/>
      </c>
      <c r="AD100" s="245"/>
      <c r="AE100" s="246"/>
      <c r="AF100" s="246"/>
      <c r="AG100" s="247"/>
      <c r="AH100" s="248"/>
      <c r="AI100" s="249"/>
      <c r="AJ100" s="250"/>
      <c r="AK100" s="606" t="str">
        <f t="shared" si="38"/>
        <v/>
      </c>
      <c r="AL100" s="607" t="str">
        <f t="shared" si="34"/>
        <v/>
      </c>
      <c r="AM100" s="608"/>
      <c r="AN100" s="609" t="str">
        <f>IFERROR(VLOOKUP(K100,【参考】数式用!$A$2:$N$57,14,FALSE),"")</f>
        <v/>
      </c>
      <c r="AO100" s="609" t="str">
        <f t="shared" si="39"/>
        <v/>
      </c>
      <c r="AP100" s="610" t="str">
        <f t="shared" si="40"/>
        <v/>
      </c>
      <c r="AQ100" s="611" t="str">
        <f t="shared" si="41"/>
        <v>入力済</v>
      </c>
      <c r="AR100" s="609" t="str">
        <f t="shared" si="42"/>
        <v/>
      </c>
      <c r="AS100" s="611" t="str">
        <f t="shared" si="43"/>
        <v>入力済</v>
      </c>
      <c r="AT100" s="611" t="str">
        <f t="shared" si="44"/>
        <v/>
      </c>
      <c r="AU100" s="611" t="str">
        <f t="shared" si="45"/>
        <v/>
      </c>
      <c r="AV100" s="609" t="str">
        <f t="shared" si="46"/>
        <v/>
      </c>
      <c r="AW100" s="609" t="str">
        <f t="shared" si="37"/>
        <v>入力済</v>
      </c>
      <c r="AX100" s="611" t="str">
        <f>IFERROR(VLOOKUP(K100,【参考】数式用!$AR$3:$AS$49,2, FALSE), "")</f>
        <v/>
      </c>
      <c r="AY100" s="609" t="str">
        <f t="shared" si="47"/>
        <v/>
      </c>
      <c r="AZ100" s="612" t="str">
        <f t="shared" si="48"/>
        <v>入力済</v>
      </c>
      <c r="BA100" s="611" t="str">
        <f>IFERROR(VLOOKUP(K100,【参考】数式用!$AX$3:$AY$59, 2, FALSE), "")</f>
        <v/>
      </c>
      <c r="BB100" s="609" t="str">
        <f t="shared" si="35"/>
        <v/>
      </c>
      <c r="BC100" s="612" t="str">
        <f t="shared" si="36"/>
        <v>入力済</v>
      </c>
      <c r="BD100" s="613" t="str">
        <f t="shared" si="49"/>
        <v/>
      </c>
      <c r="BE100" s="613" t="str">
        <f t="shared" si="50"/>
        <v/>
      </c>
    </row>
    <row r="101" spans="1:57" ht="109.9" customHeight="1" thickBot="1">
      <c r="A101" s="599">
        <v>90</v>
      </c>
      <c r="B101" s="913" t="str">
        <f>IF(基本情報入力シート!B129="","",基本情報入力シート!B129)</f>
        <v/>
      </c>
      <c r="C101" s="914"/>
      <c r="D101" s="914"/>
      <c r="E101" s="914"/>
      <c r="F101" s="915"/>
      <c r="G101" s="600" t="str">
        <f>IF(基本情報入力シート!L129="", "", 基本情報入力シート!L129)</f>
        <v/>
      </c>
      <c r="H101" s="600" t="str">
        <f>IF(基本情報入力シート!Q129="", "", 基本情報入力シート!Q129)</f>
        <v/>
      </c>
      <c r="I101" s="600" t="str">
        <f>IF(基本情報入力シート!V129="", "", 基本情報入力シート!V129)</f>
        <v/>
      </c>
      <c r="J101" s="600" t="str">
        <f>IF(基本情報入力シート!W129="", "", 基本情報入力シート!W129)</f>
        <v/>
      </c>
      <c r="K101" s="600"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01" t="s">
        <v>170</v>
      </c>
      <c r="Q101" s="225"/>
      <c r="R101" s="602" t="s">
        <v>253</v>
      </c>
      <c r="S101" s="225"/>
      <c r="T101" s="602" t="s">
        <v>254</v>
      </c>
      <c r="U101" s="225"/>
      <c r="V101" s="602" t="s">
        <v>253</v>
      </c>
      <c r="W101" s="225"/>
      <c r="X101" s="602" t="s">
        <v>255</v>
      </c>
      <c r="Y101" s="602" t="s">
        <v>256</v>
      </c>
      <c r="Z101" s="602" t="str">
        <f t="shared" si="51"/>
        <v/>
      </c>
      <c r="AA101" s="603" t="s">
        <v>257</v>
      </c>
      <c r="AB101" s="604" t="str">
        <f t="shared" si="52"/>
        <v/>
      </c>
      <c r="AC101" s="605" t="str">
        <f>IFERROR(ROUNDDOWN(ROUNDDOWN(ROUND(L101*VLOOKUP(K101,【参考】数式用!$A$4:$F$57,MATCH("処遇改善加算Ⅳ",【参考】数式用!$C$3:$F$3,0)+2,0),0)*M101,0)*Z101*0.5,0), "")</f>
        <v/>
      </c>
      <c r="AD101" s="245"/>
      <c r="AE101" s="246"/>
      <c r="AF101" s="246"/>
      <c r="AG101" s="247"/>
      <c r="AH101" s="248"/>
      <c r="AI101" s="249"/>
      <c r="AJ101" s="250"/>
      <c r="AK101" s="606" t="str">
        <f t="shared" si="38"/>
        <v/>
      </c>
      <c r="AL101" s="607" t="str">
        <f t="shared" si="34"/>
        <v/>
      </c>
      <c r="AM101" s="608"/>
      <c r="AN101" s="609" t="str">
        <f>IFERROR(VLOOKUP(K101,【参考】数式用!$A$2:$N$57,14,FALSE),"")</f>
        <v/>
      </c>
      <c r="AO101" s="609" t="str">
        <f t="shared" si="39"/>
        <v/>
      </c>
      <c r="AP101" s="610" t="str">
        <f t="shared" si="40"/>
        <v/>
      </c>
      <c r="AQ101" s="611" t="str">
        <f t="shared" si="41"/>
        <v>入力済</v>
      </c>
      <c r="AR101" s="609" t="str">
        <f t="shared" si="42"/>
        <v/>
      </c>
      <c r="AS101" s="611" t="str">
        <f t="shared" si="43"/>
        <v>入力済</v>
      </c>
      <c r="AT101" s="611" t="str">
        <f t="shared" si="44"/>
        <v/>
      </c>
      <c r="AU101" s="611" t="str">
        <f t="shared" si="45"/>
        <v/>
      </c>
      <c r="AV101" s="609" t="str">
        <f t="shared" si="46"/>
        <v/>
      </c>
      <c r="AW101" s="609" t="str">
        <f t="shared" si="37"/>
        <v>入力済</v>
      </c>
      <c r="AX101" s="611" t="str">
        <f>IFERROR(VLOOKUP(K101,【参考】数式用!$AR$3:$AS$49,2, FALSE), "")</f>
        <v/>
      </c>
      <c r="AY101" s="609" t="str">
        <f t="shared" si="47"/>
        <v/>
      </c>
      <c r="AZ101" s="612" t="str">
        <f t="shared" si="48"/>
        <v>入力済</v>
      </c>
      <c r="BA101" s="611" t="str">
        <f>IFERROR(VLOOKUP(K101,【参考】数式用!$AX$3:$AY$59, 2, FALSE), "")</f>
        <v/>
      </c>
      <c r="BB101" s="609" t="str">
        <f t="shared" si="35"/>
        <v/>
      </c>
      <c r="BC101" s="612" t="str">
        <f t="shared" si="36"/>
        <v>入力済</v>
      </c>
      <c r="BD101" s="613" t="str">
        <f t="shared" si="49"/>
        <v/>
      </c>
      <c r="BE101" s="613" t="str">
        <f t="shared" si="50"/>
        <v/>
      </c>
    </row>
    <row r="102" spans="1:57" ht="109.9" customHeight="1" thickBot="1">
      <c r="A102" s="599">
        <v>91</v>
      </c>
      <c r="B102" s="913" t="str">
        <f>IF(基本情報入力シート!B130="","",基本情報入力シート!B130)</f>
        <v/>
      </c>
      <c r="C102" s="914"/>
      <c r="D102" s="914"/>
      <c r="E102" s="914"/>
      <c r="F102" s="915"/>
      <c r="G102" s="600" t="str">
        <f>IF(基本情報入力シート!L130="", "", 基本情報入力シート!L130)</f>
        <v/>
      </c>
      <c r="H102" s="600" t="str">
        <f>IF(基本情報入力シート!Q130="", "", 基本情報入力シート!Q130)</f>
        <v/>
      </c>
      <c r="I102" s="600" t="str">
        <f>IF(基本情報入力シート!V130="", "", 基本情報入力シート!V130)</f>
        <v/>
      </c>
      <c r="J102" s="600" t="str">
        <f>IF(基本情報入力シート!W130="", "", 基本情報入力シート!W130)</f>
        <v/>
      </c>
      <c r="K102" s="600"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01" t="s">
        <v>170</v>
      </c>
      <c r="Q102" s="225"/>
      <c r="R102" s="602" t="s">
        <v>253</v>
      </c>
      <c r="S102" s="225"/>
      <c r="T102" s="602" t="s">
        <v>254</v>
      </c>
      <c r="U102" s="225"/>
      <c r="V102" s="602" t="s">
        <v>253</v>
      </c>
      <c r="W102" s="225"/>
      <c r="X102" s="602" t="s">
        <v>172</v>
      </c>
      <c r="Y102" s="602" t="s">
        <v>256</v>
      </c>
      <c r="Z102" s="602" t="str">
        <f t="shared" si="51"/>
        <v/>
      </c>
      <c r="AA102" s="603" t="s">
        <v>257</v>
      </c>
      <c r="AB102" s="604" t="str">
        <f t="shared" si="52"/>
        <v/>
      </c>
      <c r="AC102" s="605" t="str">
        <f>IFERROR(ROUNDDOWN(ROUNDDOWN(ROUND(L102*VLOOKUP(K102,【参考】数式用!$A$4:$F$57,MATCH("処遇改善加算Ⅳ",【参考】数式用!$C$3:$F$3,0)+2,0),0)*M102,0)*Z102*0.5,0), "")</f>
        <v/>
      </c>
      <c r="AD102" s="245"/>
      <c r="AE102" s="246"/>
      <c r="AF102" s="246"/>
      <c r="AG102" s="247"/>
      <c r="AH102" s="248"/>
      <c r="AI102" s="249"/>
      <c r="AJ102" s="250"/>
      <c r="AK102" s="606" t="str">
        <f t="shared" si="38"/>
        <v/>
      </c>
      <c r="AL102" s="607" t="str">
        <f t="shared" si="34"/>
        <v/>
      </c>
      <c r="AM102" s="608"/>
      <c r="AN102" s="609" t="str">
        <f>IFERROR(VLOOKUP(K102,【参考】数式用!$A$2:$N$57,14,FALSE),"")</f>
        <v/>
      </c>
      <c r="AO102" s="609" t="str">
        <f t="shared" si="39"/>
        <v/>
      </c>
      <c r="AP102" s="610" t="str">
        <f t="shared" si="40"/>
        <v/>
      </c>
      <c r="AQ102" s="611" t="str">
        <f t="shared" si="41"/>
        <v>入力済</v>
      </c>
      <c r="AR102" s="609" t="str">
        <f t="shared" si="42"/>
        <v/>
      </c>
      <c r="AS102" s="611" t="str">
        <f t="shared" si="43"/>
        <v>入力済</v>
      </c>
      <c r="AT102" s="611" t="str">
        <f t="shared" si="44"/>
        <v/>
      </c>
      <c r="AU102" s="611" t="str">
        <f t="shared" si="45"/>
        <v/>
      </c>
      <c r="AV102" s="609" t="str">
        <f t="shared" si="46"/>
        <v/>
      </c>
      <c r="AW102" s="609" t="str">
        <f t="shared" si="37"/>
        <v>入力済</v>
      </c>
      <c r="AX102" s="611" t="str">
        <f>IFERROR(VLOOKUP(K102,【参考】数式用!$AR$3:$AS$49,2, FALSE), "")</f>
        <v/>
      </c>
      <c r="AY102" s="609" t="str">
        <f t="shared" si="47"/>
        <v/>
      </c>
      <c r="AZ102" s="612" t="str">
        <f t="shared" si="48"/>
        <v>入力済</v>
      </c>
      <c r="BA102" s="611" t="str">
        <f>IFERROR(VLOOKUP(K102,【参考】数式用!$AX$3:$AY$59, 2, FALSE), "")</f>
        <v/>
      </c>
      <c r="BB102" s="609" t="str">
        <f t="shared" si="35"/>
        <v/>
      </c>
      <c r="BC102" s="612" t="str">
        <f t="shared" si="36"/>
        <v>入力済</v>
      </c>
      <c r="BD102" s="613" t="str">
        <f t="shared" si="49"/>
        <v/>
      </c>
      <c r="BE102" s="613" t="str">
        <f t="shared" si="50"/>
        <v/>
      </c>
    </row>
    <row r="103" spans="1:57" ht="109.9" customHeight="1" thickBot="1">
      <c r="A103" s="599">
        <v>92</v>
      </c>
      <c r="B103" s="913" t="str">
        <f>IF(基本情報入力シート!B131="","",基本情報入力シート!B131)</f>
        <v/>
      </c>
      <c r="C103" s="914"/>
      <c r="D103" s="914"/>
      <c r="E103" s="914"/>
      <c r="F103" s="915"/>
      <c r="G103" s="600" t="str">
        <f>IF(基本情報入力シート!L131="", "", 基本情報入力シート!L131)</f>
        <v/>
      </c>
      <c r="H103" s="600" t="str">
        <f>IF(基本情報入力シート!Q131="", "", 基本情報入力シート!Q131)</f>
        <v/>
      </c>
      <c r="I103" s="600" t="str">
        <f>IF(基本情報入力シート!V131="", "", 基本情報入力シート!V131)</f>
        <v/>
      </c>
      <c r="J103" s="600" t="str">
        <f>IF(基本情報入力シート!W131="", "", 基本情報入力シート!W131)</f>
        <v/>
      </c>
      <c r="K103" s="600"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01" t="s">
        <v>170</v>
      </c>
      <c r="Q103" s="225"/>
      <c r="R103" s="602" t="s">
        <v>253</v>
      </c>
      <c r="S103" s="225"/>
      <c r="T103" s="602" t="s">
        <v>254</v>
      </c>
      <c r="U103" s="225"/>
      <c r="V103" s="602" t="s">
        <v>253</v>
      </c>
      <c r="W103" s="225"/>
      <c r="X103" s="602" t="s">
        <v>255</v>
      </c>
      <c r="Y103" s="602" t="s">
        <v>256</v>
      </c>
      <c r="Z103" s="602" t="str">
        <f t="shared" si="51"/>
        <v/>
      </c>
      <c r="AA103" s="603" t="s">
        <v>257</v>
      </c>
      <c r="AB103" s="604" t="str">
        <f t="shared" si="52"/>
        <v/>
      </c>
      <c r="AC103" s="605" t="str">
        <f>IFERROR(ROUNDDOWN(ROUNDDOWN(ROUND(L103*VLOOKUP(K103,【参考】数式用!$A$4:$F$57,MATCH("処遇改善加算Ⅳ",【参考】数式用!$C$3:$F$3,0)+2,0),0)*M103,0)*Z103*0.5,0), "")</f>
        <v/>
      </c>
      <c r="AD103" s="245"/>
      <c r="AE103" s="246"/>
      <c r="AF103" s="246"/>
      <c r="AG103" s="247"/>
      <c r="AH103" s="248"/>
      <c r="AI103" s="249"/>
      <c r="AJ103" s="250"/>
      <c r="AK103" s="606" t="str">
        <f t="shared" si="38"/>
        <v/>
      </c>
      <c r="AL103" s="607" t="str">
        <f t="shared" si="34"/>
        <v/>
      </c>
      <c r="AM103" s="608"/>
      <c r="AN103" s="609" t="str">
        <f>IFERROR(VLOOKUP(K103,【参考】数式用!$A$2:$N$57,14,FALSE),"")</f>
        <v/>
      </c>
      <c r="AO103" s="609" t="str">
        <f t="shared" si="39"/>
        <v/>
      </c>
      <c r="AP103" s="610" t="str">
        <f t="shared" si="40"/>
        <v/>
      </c>
      <c r="AQ103" s="611" t="str">
        <f t="shared" si="41"/>
        <v>入力済</v>
      </c>
      <c r="AR103" s="609" t="str">
        <f t="shared" si="42"/>
        <v/>
      </c>
      <c r="AS103" s="611" t="str">
        <f t="shared" si="43"/>
        <v>入力済</v>
      </c>
      <c r="AT103" s="611" t="str">
        <f t="shared" si="44"/>
        <v/>
      </c>
      <c r="AU103" s="611" t="str">
        <f t="shared" si="45"/>
        <v/>
      </c>
      <c r="AV103" s="609" t="str">
        <f t="shared" si="46"/>
        <v/>
      </c>
      <c r="AW103" s="609" t="str">
        <f t="shared" si="37"/>
        <v>入力済</v>
      </c>
      <c r="AX103" s="611" t="str">
        <f>IFERROR(VLOOKUP(K103,【参考】数式用!$AR$3:$AS$49,2, FALSE), "")</f>
        <v/>
      </c>
      <c r="AY103" s="609" t="str">
        <f t="shared" si="47"/>
        <v/>
      </c>
      <c r="AZ103" s="612" t="str">
        <f t="shared" si="48"/>
        <v>入力済</v>
      </c>
      <c r="BA103" s="611" t="str">
        <f>IFERROR(VLOOKUP(K103,【参考】数式用!$AX$3:$AY$59, 2, FALSE), "")</f>
        <v/>
      </c>
      <c r="BB103" s="609" t="str">
        <f t="shared" si="35"/>
        <v/>
      </c>
      <c r="BC103" s="612" t="str">
        <f t="shared" si="36"/>
        <v>入力済</v>
      </c>
      <c r="BD103" s="613" t="str">
        <f t="shared" si="49"/>
        <v/>
      </c>
      <c r="BE103" s="613" t="str">
        <f t="shared" si="50"/>
        <v/>
      </c>
    </row>
    <row r="104" spans="1:57" ht="109.9" customHeight="1" thickBot="1">
      <c r="A104" s="599">
        <v>93</v>
      </c>
      <c r="B104" s="913" t="str">
        <f>IF(基本情報入力シート!B132="","",基本情報入力シート!B132)</f>
        <v/>
      </c>
      <c r="C104" s="914"/>
      <c r="D104" s="914"/>
      <c r="E104" s="914"/>
      <c r="F104" s="915"/>
      <c r="G104" s="600" t="str">
        <f>IF(基本情報入力シート!L132="", "", 基本情報入力シート!L132)</f>
        <v/>
      </c>
      <c r="H104" s="600" t="str">
        <f>IF(基本情報入力シート!Q132="", "", 基本情報入力シート!Q132)</f>
        <v/>
      </c>
      <c r="I104" s="600" t="str">
        <f>IF(基本情報入力シート!V132="", "", 基本情報入力シート!V132)</f>
        <v/>
      </c>
      <c r="J104" s="600" t="str">
        <f>IF(基本情報入力シート!W132="", "", 基本情報入力シート!W132)</f>
        <v/>
      </c>
      <c r="K104" s="600"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01" t="s">
        <v>170</v>
      </c>
      <c r="Q104" s="225"/>
      <c r="R104" s="602" t="s">
        <v>253</v>
      </c>
      <c r="S104" s="225"/>
      <c r="T104" s="602" t="s">
        <v>254</v>
      </c>
      <c r="U104" s="225"/>
      <c r="V104" s="602" t="s">
        <v>253</v>
      </c>
      <c r="W104" s="225"/>
      <c r="X104" s="602" t="s">
        <v>255</v>
      </c>
      <c r="Y104" s="602" t="s">
        <v>256</v>
      </c>
      <c r="Z104" s="602" t="str">
        <f t="shared" si="51"/>
        <v/>
      </c>
      <c r="AA104" s="603" t="s">
        <v>257</v>
      </c>
      <c r="AB104" s="604" t="str">
        <f t="shared" si="52"/>
        <v/>
      </c>
      <c r="AC104" s="605" t="str">
        <f>IFERROR(ROUNDDOWN(ROUNDDOWN(ROUND(L104*VLOOKUP(K104,【参考】数式用!$A$4:$F$57,MATCH("処遇改善加算Ⅳ",【参考】数式用!$C$3:$F$3,0)+2,0),0)*M104,0)*Z104*0.5,0), "")</f>
        <v/>
      </c>
      <c r="AD104" s="245"/>
      <c r="AE104" s="246"/>
      <c r="AF104" s="246"/>
      <c r="AG104" s="247"/>
      <c r="AH104" s="248"/>
      <c r="AI104" s="249"/>
      <c r="AJ104" s="250"/>
      <c r="AK104" s="606" t="str">
        <f t="shared" si="38"/>
        <v/>
      </c>
      <c r="AL104" s="607" t="str">
        <f t="shared" si="34"/>
        <v/>
      </c>
      <c r="AM104" s="608"/>
      <c r="AN104" s="609" t="str">
        <f>IFERROR(VLOOKUP(K104,【参考】数式用!$A$2:$N$57,14,FALSE),"")</f>
        <v/>
      </c>
      <c r="AO104" s="609" t="str">
        <f t="shared" si="39"/>
        <v/>
      </c>
      <c r="AP104" s="610" t="str">
        <f t="shared" si="40"/>
        <v/>
      </c>
      <c r="AQ104" s="611" t="str">
        <f t="shared" si="41"/>
        <v>入力済</v>
      </c>
      <c r="AR104" s="609" t="str">
        <f t="shared" si="42"/>
        <v/>
      </c>
      <c r="AS104" s="611" t="str">
        <f t="shared" si="43"/>
        <v>入力済</v>
      </c>
      <c r="AT104" s="611" t="str">
        <f t="shared" si="44"/>
        <v/>
      </c>
      <c r="AU104" s="611" t="str">
        <f t="shared" si="45"/>
        <v/>
      </c>
      <c r="AV104" s="609" t="str">
        <f t="shared" si="46"/>
        <v/>
      </c>
      <c r="AW104" s="609" t="str">
        <f t="shared" si="37"/>
        <v>入力済</v>
      </c>
      <c r="AX104" s="611" t="str">
        <f>IFERROR(VLOOKUP(K104,【参考】数式用!$AR$3:$AS$49,2, FALSE), "")</f>
        <v/>
      </c>
      <c r="AY104" s="609" t="str">
        <f t="shared" si="47"/>
        <v/>
      </c>
      <c r="AZ104" s="612" t="str">
        <f t="shared" si="48"/>
        <v>入力済</v>
      </c>
      <c r="BA104" s="611" t="str">
        <f>IFERROR(VLOOKUP(K104,【参考】数式用!$AX$3:$AY$59, 2, FALSE), "")</f>
        <v/>
      </c>
      <c r="BB104" s="609" t="str">
        <f t="shared" si="35"/>
        <v/>
      </c>
      <c r="BC104" s="612" t="str">
        <f t="shared" si="36"/>
        <v>入力済</v>
      </c>
      <c r="BD104" s="613" t="str">
        <f t="shared" si="49"/>
        <v/>
      </c>
      <c r="BE104" s="613" t="str">
        <f t="shared" si="50"/>
        <v/>
      </c>
    </row>
    <row r="105" spans="1:57" ht="109.9" customHeight="1" thickBot="1">
      <c r="A105" s="599">
        <v>94</v>
      </c>
      <c r="B105" s="913" t="str">
        <f>IF(基本情報入力シート!B133="","",基本情報入力シート!B133)</f>
        <v/>
      </c>
      <c r="C105" s="914"/>
      <c r="D105" s="914"/>
      <c r="E105" s="914"/>
      <c r="F105" s="915"/>
      <c r="G105" s="600" t="str">
        <f>IF(基本情報入力シート!L133="", "", 基本情報入力シート!L133)</f>
        <v/>
      </c>
      <c r="H105" s="600" t="str">
        <f>IF(基本情報入力シート!Q133="", "", 基本情報入力シート!Q133)</f>
        <v/>
      </c>
      <c r="I105" s="600" t="str">
        <f>IF(基本情報入力シート!V133="", "", 基本情報入力シート!V133)</f>
        <v/>
      </c>
      <c r="J105" s="600" t="str">
        <f>IF(基本情報入力シート!W133="", "", 基本情報入力シート!W133)</f>
        <v/>
      </c>
      <c r="K105" s="600"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01" t="s">
        <v>170</v>
      </c>
      <c r="Q105" s="225"/>
      <c r="R105" s="602" t="s">
        <v>253</v>
      </c>
      <c r="S105" s="225"/>
      <c r="T105" s="602" t="s">
        <v>254</v>
      </c>
      <c r="U105" s="225"/>
      <c r="V105" s="602" t="s">
        <v>253</v>
      </c>
      <c r="W105" s="225"/>
      <c r="X105" s="602" t="s">
        <v>255</v>
      </c>
      <c r="Y105" s="602" t="s">
        <v>256</v>
      </c>
      <c r="Z105" s="602" t="str">
        <f t="shared" si="51"/>
        <v/>
      </c>
      <c r="AA105" s="603" t="s">
        <v>257</v>
      </c>
      <c r="AB105" s="604" t="str">
        <f t="shared" si="52"/>
        <v/>
      </c>
      <c r="AC105" s="605" t="str">
        <f>IFERROR(ROUNDDOWN(ROUNDDOWN(ROUND(L105*VLOOKUP(K105,【参考】数式用!$A$4:$F$57,MATCH("処遇改善加算Ⅳ",【参考】数式用!$C$3:$F$3,0)+2,0),0)*M105,0)*Z105*0.5,0), "")</f>
        <v/>
      </c>
      <c r="AD105" s="245"/>
      <c r="AE105" s="246"/>
      <c r="AF105" s="246"/>
      <c r="AG105" s="247"/>
      <c r="AH105" s="248"/>
      <c r="AI105" s="249"/>
      <c r="AJ105" s="250"/>
      <c r="AK105" s="606" t="str">
        <f t="shared" si="38"/>
        <v/>
      </c>
      <c r="AL105" s="607" t="str">
        <f t="shared" si="34"/>
        <v/>
      </c>
      <c r="AM105" s="608"/>
      <c r="AN105" s="609" t="str">
        <f>IFERROR(VLOOKUP(K105,【参考】数式用!$A$2:$N$57,14,FALSE),"")</f>
        <v/>
      </c>
      <c r="AO105" s="609" t="str">
        <f t="shared" si="39"/>
        <v/>
      </c>
      <c r="AP105" s="610" t="str">
        <f t="shared" si="40"/>
        <v/>
      </c>
      <c r="AQ105" s="611" t="str">
        <f t="shared" si="41"/>
        <v>入力済</v>
      </c>
      <c r="AR105" s="609" t="str">
        <f t="shared" si="42"/>
        <v/>
      </c>
      <c r="AS105" s="611" t="str">
        <f t="shared" si="43"/>
        <v>入力済</v>
      </c>
      <c r="AT105" s="611" t="str">
        <f t="shared" si="44"/>
        <v/>
      </c>
      <c r="AU105" s="611" t="str">
        <f t="shared" si="45"/>
        <v/>
      </c>
      <c r="AV105" s="609" t="str">
        <f t="shared" si="46"/>
        <v/>
      </c>
      <c r="AW105" s="609" t="str">
        <f t="shared" si="37"/>
        <v>入力済</v>
      </c>
      <c r="AX105" s="611" t="str">
        <f>IFERROR(VLOOKUP(K105,【参考】数式用!$AR$3:$AS$49,2, FALSE), "")</f>
        <v/>
      </c>
      <c r="AY105" s="609" t="str">
        <f t="shared" si="47"/>
        <v/>
      </c>
      <c r="AZ105" s="612" t="str">
        <f t="shared" si="48"/>
        <v>入力済</v>
      </c>
      <c r="BA105" s="611" t="str">
        <f>IFERROR(VLOOKUP(K105,【参考】数式用!$AX$3:$AY$59, 2, FALSE), "")</f>
        <v/>
      </c>
      <c r="BB105" s="609" t="str">
        <f t="shared" si="35"/>
        <v/>
      </c>
      <c r="BC105" s="612" t="str">
        <f t="shared" si="36"/>
        <v>入力済</v>
      </c>
      <c r="BD105" s="613" t="str">
        <f t="shared" si="49"/>
        <v/>
      </c>
      <c r="BE105" s="613" t="str">
        <f t="shared" si="50"/>
        <v/>
      </c>
    </row>
    <row r="106" spans="1:57" ht="109.9" customHeight="1" thickBot="1">
      <c r="A106" s="599">
        <v>95</v>
      </c>
      <c r="B106" s="913" t="str">
        <f>IF(基本情報入力シート!B134="","",基本情報入力シート!B134)</f>
        <v/>
      </c>
      <c r="C106" s="914"/>
      <c r="D106" s="914"/>
      <c r="E106" s="914"/>
      <c r="F106" s="915"/>
      <c r="G106" s="600" t="str">
        <f>IF(基本情報入力シート!L134="", "", 基本情報入力シート!L134)</f>
        <v/>
      </c>
      <c r="H106" s="600" t="str">
        <f>IF(基本情報入力シート!Q134="", "", 基本情報入力シート!Q134)</f>
        <v/>
      </c>
      <c r="I106" s="600" t="str">
        <f>IF(基本情報入力シート!V134="", "", 基本情報入力シート!V134)</f>
        <v/>
      </c>
      <c r="J106" s="600" t="str">
        <f>IF(基本情報入力シート!W134="", "", 基本情報入力シート!W134)</f>
        <v/>
      </c>
      <c r="K106" s="600"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01" t="s">
        <v>170</v>
      </c>
      <c r="Q106" s="225"/>
      <c r="R106" s="602" t="s">
        <v>253</v>
      </c>
      <c r="S106" s="225"/>
      <c r="T106" s="602" t="s">
        <v>254</v>
      </c>
      <c r="U106" s="225"/>
      <c r="V106" s="602" t="s">
        <v>253</v>
      </c>
      <c r="W106" s="225"/>
      <c r="X106" s="602" t="s">
        <v>172</v>
      </c>
      <c r="Y106" s="602" t="s">
        <v>256</v>
      </c>
      <c r="Z106" s="602" t="str">
        <f t="shared" si="51"/>
        <v/>
      </c>
      <c r="AA106" s="603" t="s">
        <v>257</v>
      </c>
      <c r="AB106" s="604" t="str">
        <f t="shared" si="52"/>
        <v/>
      </c>
      <c r="AC106" s="605" t="str">
        <f>IFERROR(ROUNDDOWN(ROUNDDOWN(ROUND(L106*VLOOKUP(K106,【参考】数式用!$A$4:$F$57,MATCH("処遇改善加算Ⅳ",【参考】数式用!$C$3:$F$3,0)+2,0),0)*M106,0)*Z106*0.5,0), "")</f>
        <v/>
      </c>
      <c r="AD106" s="245"/>
      <c r="AE106" s="246"/>
      <c r="AF106" s="246"/>
      <c r="AG106" s="247"/>
      <c r="AH106" s="248"/>
      <c r="AI106" s="249"/>
      <c r="AJ106" s="250"/>
      <c r="AK106" s="606" t="str">
        <f t="shared" si="38"/>
        <v/>
      </c>
      <c r="AL106" s="607" t="str">
        <f t="shared" si="34"/>
        <v/>
      </c>
      <c r="AM106" s="608"/>
      <c r="AN106" s="609" t="str">
        <f>IFERROR(VLOOKUP(K106,【参考】数式用!$A$2:$N$57,14,FALSE),"")</f>
        <v/>
      </c>
      <c r="AO106" s="609" t="str">
        <f t="shared" si="39"/>
        <v/>
      </c>
      <c r="AP106" s="610" t="str">
        <f t="shared" si="40"/>
        <v/>
      </c>
      <c r="AQ106" s="611" t="str">
        <f t="shared" si="41"/>
        <v>入力済</v>
      </c>
      <c r="AR106" s="609" t="str">
        <f t="shared" si="42"/>
        <v/>
      </c>
      <c r="AS106" s="611" t="str">
        <f t="shared" si="43"/>
        <v>入力済</v>
      </c>
      <c r="AT106" s="611" t="str">
        <f t="shared" si="44"/>
        <v/>
      </c>
      <c r="AU106" s="611" t="str">
        <f t="shared" si="45"/>
        <v/>
      </c>
      <c r="AV106" s="609" t="str">
        <f t="shared" si="46"/>
        <v/>
      </c>
      <c r="AW106" s="609" t="str">
        <f t="shared" si="37"/>
        <v>入力済</v>
      </c>
      <c r="AX106" s="611" t="str">
        <f>IFERROR(VLOOKUP(K106,【参考】数式用!$AR$3:$AS$49,2, FALSE), "")</f>
        <v/>
      </c>
      <c r="AY106" s="609" t="str">
        <f t="shared" si="47"/>
        <v/>
      </c>
      <c r="AZ106" s="612" t="str">
        <f t="shared" si="48"/>
        <v>入力済</v>
      </c>
      <c r="BA106" s="611" t="str">
        <f>IFERROR(VLOOKUP(K106,【参考】数式用!$AX$3:$AY$59, 2, FALSE), "")</f>
        <v/>
      </c>
      <c r="BB106" s="609" t="str">
        <f t="shared" si="35"/>
        <v/>
      </c>
      <c r="BC106" s="612" t="str">
        <f t="shared" si="36"/>
        <v>入力済</v>
      </c>
      <c r="BD106" s="613" t="str">
        <f t="shared" si="49"/>
        <v/>
      </c>
      <c r="BE106" s="613" t="str">
        <f t="shared" si="50"/>
        <v/>
      </c>
    </row>
    <row r="107" spans="1:57" ht="109.9" customHeight="1" thickBot="1">
      <c r="A107" s="599">
        <v>96</v>
      </c>
      <c r="B107" s="913" t="str">
        <f>IF(基本情報入力シート!B135="","",基本情報入力シート!B135)</f>
        <v/>
      </c>
      <c r="C107" s="914"/>
      <c r="D107" s="914"/>
      <c r="E107" s="914"/>
      <c r="F107" s="915"/>
      <c r="G107" s="600" t="str">
        <f>IF(基本情報入力シート!L135="", "", 基本情報入力シート!L135)</f>
        <v/>
      </c>
      <c r="H107" s="600" t="str">
        <f>IF(基本情報入力シート!Q135="", "", 基本情報入力シート!Q135)</f>
        <v/>
      </c>
      <c r="I107" s="600" t="str">
        <f>IF(基本情報入力シート!V135="", "", 基本情報入力シート!V135)</f>
        <v/>
      </c>
      <c r="J107" s="600" t="str">
        <f>IF(基本情報入力シート!W135="", "", 基本情報入力シート!W135)</f>
        <v/>
      </c>
      <c r="K107" s="600"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01" t="s">
        <v>170</v>
      </c>
      <c r="Q107" s="225"/>
      <c r="R107" s="602" t="s">
        <v>253</v>
      </c>
      <c r="S107" s="225"/>
      <c r="T107" s="602" t="s">
        <v>254</v>
      </c>
      <c r="U107" s="225"/>
      <c r="V107" s="602" t="s">
        <v>253</v>
      </c>
      <c r="W107" s="225"/>
      <c r="X107" s="602" t="s">
        <v>172</v>
      </c>
      <c r="Y107" s="602" t="s">
        <v>256</v>
      </c>
      <c r="Z107" s="602" t="str">
        <f t="shared" si="51"/>
        <v/>
      </c>
      <c r="AA107" s="603" t="s">
        <v>257</v>
      </c>
      <c r="AB107" s="604" t="str">
        <f t="shared" si="52"/>
        <v/>
      </c>
      <c r="AC107" s="605" t="str">
        <f>IFERROR(ROUNDDOWN(ROUNDDOWN(ROUND(L107*VLOOKUP(K107,【参考】数式用!$A$4:$F$57,MATCH("処遇改善加算Ⅳ",【参考】数式用!$C$3:$F$3,0)+2,0),0)*M107,0)*Z107*0.5,0), "")</f>
        <v/>
      </c>
      <c r="AD107" s="245"/>
      <c r="AE107" s="246"/>
      <c r="AF107" s="246"/>
      <c r="AG107" s="247"/>
      <c r="AH107" s="248"/>
      <c r="AI107" s="249"/>
      <c r="AJ107" s="250"/>
      <c r="AK107" s="606" t="str">
        <f t="shared" si="38"/>
        <v/>
      </c>
      <c r="AL107" s="607" t="str">
        <f t="shared" si="34"/>
        <v/>
      </c>
      <c r="AM107" s="608"/>
      <c r="AN107" s="609" t="str">
        <f>IFERROR(VLOOKUP(K107,【参考】数式用!$A$2:$N$57,14,FALSE),"")</f>
        <v/>
      </c>
      <c r="AO107" s="609" t="str">
        <f t="shared" si="39"/>
        <v/>
      </c>
      <c r="AP107" s="610" t="str">
        <f t="shared" si="40"/>
        <v/>
      </c>
      <c r="AQ107" s="611" t="str">
        <f t="shared" si="41"/>
        <v>入力済</v>
      </c>
      <c r="AR107" s="609" t="str">
        <f t="shared" si="42"/>
        <v/>
      </c>
      <c r="AS107" s="611" t="str">
        <f t="shared" si="43"/>
        <v>入力済</v>
      </c>
      <c r="AT107" s="611" t="str">
        <f t="shared" si="44"/>
        <v/>
      </c>
      <c r="AU107" s="611" t="str">
        <f t="shared" si="45"/>
        <v/>
      </c>
      <c r="AV107" s="609" t="str">
        <f t="shared" si="46"/>
        <v/>
      </c>
      <c r="AW107" s="609" t="str">
        <f t="shared" si="37"/>
        <v>入力済</v>
      </c>
      <c r="AX107" s="611" t="str">
        <f>IFERROR(VLOOKUP(K107,【参考】数式用!$AR$3:$AS$49,2, FALSE), "")</f>
        <v/>
      </c>
      <c r="AY107" s="609" t="str">
        <f t="shared" si="47"/>
        <v/>
      </c>
      <c r="AZ107" s="612" t="str">
        <f t="shared" si="48"/>
        <v>入力済</v>
      </c>
      <c r="BA107" s="611" t="str">
        <f>IFERROR(VLOOKUP(K107,【参考】数式用!$AX$3:$AY$59, 2, FALSE), "")</f>
        <v/>
      </c>
      <c r="BB107" s="609" t="str">
        <f t="shared" si="35"/>
        <v/>
      </c>
      <c r="BC107" s="612" t="str">
        <f t="shared" si="36"/>
        <v>入力済</v>
      </c>
      <c r="BD107" s="613" t="str">
        <f t="shared" si="49"/>
        <v/>
      </c>
      <c r="BE107" s="613" t="str">
        <f t="shared" si="50"/>
        <v/>
      </c>
    </row>
    <row r="108" spans="1:57" ht="109.9" customHeight="1" thickBot="1">
      <c r="A108" s="599">
        <v>97</v>
      </c>
      <c r="B108" s="913" t="str">
        <f>IF(基本情報入力シート!B136="","",基本情報入力シート!B136)</f>
        <v/>
      </c>
      <c r="C108" s="914"/>
      <c r="D108" s="914"/>
      <c r="E108" s="914"/>
      <c r="F108" s="915"/>
      <c r="G108" s="600" t="str">
        <f>IF(基本情報入力シート!L136="", "", 基本情報入力シート!L136)</f>
        <v/>
      </c>
      <c r="H108" s="600" t="str">
        <f>IF(基本情報入力シート!Q136="", "", 基本情報入力シート!Q136)</f>
        <v/>
      </c>
      <c r="I108" s="600" t="str">
        <f>IF(基本情報入力シート!V136="", "", 基本情報入力シート!V136)</f>
        <v/>
      </c>
      <c r="J108" s="600" t="str">
        <f>IF(基本情報入力シート!W136="", "", 基本情報入力シート!W136)</f>
        <v/>
      </c>
      <c r="K108" s="600"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01" t="s">
        <v>170</v>
      </c>
      <c r="Q108" s="225"/>
      <c r="R108" s="602" t="s">
        <v>253</v>
      </c>
      <c r="S108" s="225"/>
      <c r="T108" s="602" t="s">
        <v>254</v>
      </c>
      <c r="U108" s="225"/>
      <c r="V108" s="602" t="s">
        <v>253</v>
      </c>
      <c r="W108" s="225"/>
      <c r="X108" s="602" t="s">
        <v>255</v>
      </c>
      <c r="Y108" s="602" t="s">
        <v>256</v>
      </c>
      <c r="Z108" s="602" t="str">
        <f t="shared" si="51"/>
        <v/>
      </c>
      <c r="AA108" s="603" t="s">
        <v>257</v>
      </c>
      <c r="AB108" s="604" t="str">
        <f t="shared" si="52"/>
        <v/>
      </c>
      <c r="AC108" s="605" t="str">
        <f>IFERROR(ROUNDDOWN(ROUNDDOWN(ROUND(L108*VLOOKUP(K108,【参考】数式用!$A$4:$F$57,MATCH("処遇改善加算Ⅳ",【参考】数式用!$C$3:$F$3,0)+2,0),0)*M108,0)*Z108*0.5,0), "")</f>
        <v/>
      </c>
      <c r="AD108" s="245"/>
      <c r="AE108" s="246"/>
      <c r="AF108" s="246"/>
      <c r="AG108" s="247"/>
      <c r="AH108" s="248"/>
      <c r="AI108" s="249"/>
      <c r="AJ108" s="250"/>
      <c r="AK108" s="606" t="str">
        <f t="shared" si="38"/>
        <v/>
      </c>
      <c r="AL108" s="607" t="str">
        <f t="shared" si="34"/>
        <v/>
      </c>
      <c r="AM108" s="608"/>
      <c r="AN108" s="609" t="str">
        <f>IFERROR(VLOOKUP(K108,【参考】数式用!$A$2:$N$57,14,FALSE),"")</f>
        <v/>
      </c>
      <c r="AO108" s="609" t="str">
        <f t="shared" si="39"/>
        <v/>
      </c>
      <c r="AP108" s="610" t="str">
        <f t="shared" si="40"/>
        <v/>
      </c>
      <c r="AQ108" s="611" t="str">
        <f t="shared" si="41"/>
        <v>入力済</v>
      </c>
      <c r="AR108" s="609" t="str">
        <f t="shared" si="42"/>
        <v/>
      </c>
      <c r="AS108" s="611" t="str">
        <f t="shared" si="43"/>
        <v>入力済</v>
      </c>
      <c r="AT108" s="611" t="str">
        <f t="shared" si="44"/>
        <v/>
      </c>
      <c r="AU108" s="611" t="str">
        <f t="shared" si="45"/>
        <v/>
      </c>
      <c r="AV108" s="609" t="str">
        <f t="shared" si="46"/>
        <v/>
      </c>
      <c r="AW108" s="609" t="str">
        <f t="shared" si="37"/>
        <v>入力済</v>
      </c>
      <c r="AX108" s="611" t="str">
        <f>IFERROR(VLOOKUP(K108,【参考】数式用!$AR$3:$AS$49,2, FALSE), "")</f>
        <v/>
      </c>
      <c r="AY108" s="609" t="str">
        <f t="shared" si="47"/>
        <v/>
      </c>
      <c r="AZ108" s="612" t="str">
        <f t="shared" si="48"/>
        <v>入力済</v>
      </c>
      <c r="BA108" s="611" t="str">
        <f>IFERROR(VLOOKUP(K108,【参考】数式用!$AX$3:$AY$59, 2, FALSE), "")</f>
        <v/>
      </c>
      <c r="BB108" s="609" t="str">
        <f t="shared" si="35"/>
        <v/>
      </c>
      <c r="BC108" s="612" t="str">
        <f t="shared" si="36"/>
        <v>入力済</v>
      </c>
      <c r="BD108" s="613" t="str">
        <f t="shared" si="49"/>
        <v/>
      </c>
      <c r="BE108" s="613" t="str">
        <f t="shared" si="50"/>
        <v/>
      </c>
    </row>
    <row r="109" spans="1:57" ht="109.9" customHeight="1" thickBot="1">
      <c r="A109" s="599">
        <v>98</v>
      </c>
      <c r="B109" s="913" t="str">
        <f>IF(基本情報入力シート!B137="","",基本情報入力シート!B137)</f>
        <v/>
      </c>
      <c r="C109" s="914"/>
      <c r="D109" s="914"/>
      <c r="E109" s="914"/>
      <c r="F109" s="915"/>
      <c r="G109" s="600" t="str">
        <f>IF(基本情報入力シート!L137="", "", 基本情報入力シート!L137)</f>
        <v/>
      </c>
      <c r="H109" s="600" t="str">
        <f>IF(基本情報入力シート!Q137="", "", 基本情報入力シート!Q137)</f>
        <v/>
      </c>
      <c r="I109" s="600" t="str">
        <f>IF(基本情報入力シート!V137="", "", 基本情報入力シート!V137)</f>
        <v/>
      </c>
      <c r="J109" s="600" t="str">
        <f>IF(基本情報入力シート!W137="", "", 基本情報入力シート!W137)</f>
        <v/>
      </c>
      <c r="K109" s="600"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01" t="s">
        <v>170</v>
      </c>
      <c r="Q109" s="225"/>
      <c r="R109" s="602" t="s">
        <v>253</v>
      </c>
      <c r="S109" s="225"/>
      <c r="T109" s="602" t="s">
        <v>254</v>
      </c>
      <c r="U109" s="225"/>
      <c r="V109" s="602" t="s">
        <v>253</v>
      </c>
      <c r="W109" s="225"/>
      <c r="X109" s="602" t="s">
        <v>255</v>
      </c>
      <c r="Y109" s="602" t="s">
        <v>256</v>
      </c>
      <c r="Z109" s="602" t="str">
        <f t="shared" si="51"/>
        <v/>
      </c>
      <c r="AA109" s="603" t="s">
        <v>257</v>
      </c>
      <c r="AB109" s="604" t="str">
        <f t="shared" si="52"/>
        <v/>
      </c>
      <c r="AC109" s="605" t="str">
        <f>IFERROR(ROUNDDOWN(ROUNDDOWN(ROUND(L109*VLOOKUP(K109,【参考】数式用!$A$4:$F$57,MATCH("処遇改善加算Ⅳ",【参考】数式用!$C$3:$F$3,0)+2,0),0)*M109,0)*Z109*0.5,0), "")</f>
        <v/>
      </c>
      <c r="AD109" s="245"/>
      <c r="AE109" s="246"/>
      <c r="AF109" s="246"/>
      <c r="AG109" s="247"/>
      <c r="AH109" s="248"/>
      <c r="AI109" s="249"/>
      <c r="AJ109" s="250"/>
      <c r="AK109" s="606" t="str">
        <f t="shared" si="38"/>
        <v/>
      </c>
      <c r="AL109" s="607" t="str">
        <f t="shared" si="34"/>
        <v/>
      </c>
      <c r="AM109" s="608"/>
      <c r="AN109" s="609" t="str">
        <f>IFERROR(VLOOKUP(K109,【参考】数式用!$A$2:$N$57,14,FALSE),"")</f>
        <v/>
      </c>
      <c r="AO109" s="609" t="str">
        <f t="shared" si="39"/>
        <v/>
      </c>
      <c r="AP109" s="610" t="str">
        <f t="shared" si="40"/>
        <v/>
      </c>
      <c r="AQ109" s="611" t="str">
        <f t="shared" si="41"/>
        <v>入力済</v>
      </c>
      <c r="AR109" s="609" t="str">
        <f t="shared" si="42"/>
        <v/>
      </c>
      <c r="AS109" s="611" t="str">
        <f t="shared" si="43"/>
        <v>入力済</v>
      </c>
      <c r="AT109" s="611" t="str">
        <f t="shared" si="44"/>
        <v/>
      </c>
      <c r="AU109" s="611" t="str">
        <f t="shared" si="45"/>
        <v/>
      </c>
      <c r="AV109" s="609" t="str">
        <f t="shared" si="46"/>
        <v/>
      </c>
      <c r="AW109" s="609" t="str">
        <f t="shared" si="37"/>
        <v>入力済</v>
      </c>
      <c r="AX109" s="611" t="str">
        <f>IFERROR(VLOOKUP(K109,【参考】数式用!$AR$3:$AS$49,2, FALSE), "")</f>
        <v/>
      </c>
      <c r="AY109" s="609" t="str">
        <f t="shared" si="47"/>
        <v/>
      </c>
      <c r="AZ109" s="612" t="str">
        <f t="shared" si="48"/>
        <v>入力済</v>
      </c>
      <c r="BA109" s="611" t="str">
        <f>IFERROR(VLOOKUP(K109,【参考】数式用!$AX$3:$AY$59, 2, FALSE), "")</f>
        <v/>
      </c>
      <c r="BB109" s="609" t="str">
        <f t="shared" si="35"/>
        <v/>
      </c>
      <c r="BC109" s="612" t="str">
        <f t="shared" si="36"/>
        <v>入力済</v>
      </c>
      <c r="BD109" s="613" t="str">
        <f t="shared" si="49"/>
        <v/>
      </c>
      <c r="BE109" s="613" t="str">
        <f t="shared" si="50"/>
        <v/>
      </c>
    </row>
    <row r="110" spans="1:57" ht="109.9" customHeight="1" thickBot="1">
      <c r="A110" s="599">
        <v>99</v>
      </c>
      <c r="B110" s="913" t="str">
        <f>IF(基本情報入力シート!B138="","",基本情報入力シート!B138)</f>
        <v/>
      </c>
      <c r="C110" s="914"/>
      <c r="D110" s="914"/>
      <c r="E110" s="914"/>
      <c r="F110" s="915"/>
      <c r="G110" s="600" t="str">
        <f>IF(基本情報入力シート!L138="", "", 基本情報入力シート!L138)</f>
        <v/>
      </c>
      <c r="H110" s="600" t="str">
        <f>IF(基本情報入力シート!Q138="", "", 基本情報入力シート!Q138)</f>
        <v/>
      </c>
      <c r="I110" s="600" t="str">
        <f>IF(基本情報入力シート!V138="", "", 基本情報入力シート!V138)</f>
        <v/>
      </c>
      <c r="J110" s="600" t="str">
        <f>IF(基本情報入力シート!W138="", "", 基本情報入力シート!W138)</f>
        <v/>
      </c>
      <c r="K110" s="600"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01" t="s">
        <v>170</v>
      </c>
      <c r="Q110" s="225"/>
      <c r="R110" s="602" t="s">
        <v>253</v>
      </c>
      <c r="S110" s="225"/>
      <c r="T110" s="602" t="s">
        <v>254</v>
      </c>
      <c r="U110" s="225"/>
      <c r="V110" s="602" t="s">
        <v>253</v>
      </c>
      <c r="W110" s="225"/>
      <c r="X110" s="602" t="s">
        <v>255</v>
      </c>
      <c r="Y110" s="602" t="s">
        <v>256</v>
      </c>
      <c r="Z110" s="602" t="str">
        <f t="shared" si="51"/>
        <v/>
      </c>
      <c r="AA110" s="603" t="s">
        <v>257</v>
      </c>
      <c r="AB110" s="604" t="str">
        <f t="shared" si="52"/>
        <v/>
      </c>
      <c r="AC110" s="605" t="str">
        <f>IFERROR(ROUNDDOWN(ROUNDDOWN(ROUND(L110*VLOOKUP(K110,【参考】数式用!$A$4:$F$57,MATCH("処遇改善加算Ⅳ",【参考】数式用!$C$3:$F$3,0)+2,0),0)*M110,0)*Z110*0.5,0), "")</f>
        <v/>
      </c>
      <c r="AD110" s="245"/>
      <c r="AE110" s="246"/>
      <c r="AF110" s="246"/>
      <c r="AG110" s="247"/>
      <c r="AH110" s="248"/>
      <c r="AI110" s="249"/>
      <c r="AJ110" s="250"/>
      <c r="AK110" s="606" t="str">
        <f t="shared" si="38"/>
        <v/>
      </c>
      <c r="AL110" s="607" t="str">
        <f t="shared" si="34"/>
        <v/>
      </c>
      <c r="AM110" s="608"/>
      <c r="AN110" s="609" t="str">
        <f>IFERROR(VLOOKUP(K110,【参考】数式用!$A$2:$N$57,14,FALSE),"")</f>
        <v/>
      </c>
      <c r="AO110" s="609" t="str">
        <f t="shared" si="39"/>
        <v/>
      </c>
      <c r="AP110" s="610" t="str">
        <f t="shared" si="40"/>
        <v/>
      </c>
      <c r="AQ110" s="611" t="str">
        <f t="shared" si="41"/>
        <v>入力済</v>
      </c>
      <c r="AR110" s="609" t="str">
        <f t="shared" si="42"/>
        <v/>
      </c>
      <c r="AS110" s="611" t="str">
        <f t="shared" si="43"/>
        <v>入力済</v>
      </c>
      <c r="AT110" s="611" t="str">
        <f t="shared" si="44"/>
        <v/>
      </c>
      <c r="AU110" s="611" t="str">
        <f t="shared" si="45"/>
        <v/>
      </c>
      <c r="AV110" s="609" t="str">
        <f t="shared" si="46"/>
        <v/>
      </c>
      <c r="AW110" s="609" t="str">
        <f t="shared" si="37"/>
        <v>入力済</v>
      </c>
      <c r="AX110" s="611" t="str">
        <f>IFERROR(VLOOKUP(K110,【参考】数式用!$AR$3:$AS$49,2, FALSE), "")</f>
        <v/>
      </c>
      <c r="AY110" s="609" t="str">
        <f t="shared" si="47"/>
        <v/>
      </c>
      <c r="AZ110" s="612" t="str">
        <f t="shared" si="48"/>
        <v>入力済</v>
      </c>
      <c r="BA110" s="611" t="str">
        <f>IFERROR(VLOOKUP(K110,【参考】数式用!$AX$3:$AY$59, 2, FALSE), "")</f>
        <v/>
      </c>
      <c r="BB110" s="609" t="str">
        <f t="shared" si="35"/>
        <v/>
      </c>
      <c r="BC110" s="612" t="str">
        <f t="shared" si="36"/>
        <v>入力済</v>
      </c>
      <c r="BD110" s="613" t="str">
        <f t="shared" si="49"/>
        <v/>
      </c>
      <c r="BE110" s="613" t="str">
        <f t="shared" si="50"/>
        <v/>
      </c>
    </row>
    <row r="111" spans="1:57" ht="109.9" customHeight="1" thickBot="1">
      <c r="A111" s="599">
        <v>100</v>
      </c>
      <c r="B111" s="960" t="str">
        <f>IF(基本情報入力シート!B139="","",基本情報入力シート!B139)</f>
        <v/>
      </c>
      <c r="C111" s="961"/>
      <c r="D111" s="961"/>
      <c r="E111" s="961"/>
      <c r="F111" s="962"/>
      <c r="G111" s="614" t="str">
        <f>IF(基本情報入力シート!L139="", "", 基本情報入力シート!L139)</f>
        <v/>
      </c>
      <c r="H111" s="614" t="str">
        <f>IF(基本情報入力シート!Q139="", "", 基本情報入力シート!Q139)</f>
        <v/>
      </c>
      <c r="I111" s="614" t="str">
        <f>IF(基本情報入力シート!V139="", "", 基本情報入力シート!V139)</f>
        <v/>
      </c>
      <c r="J111" s="614" t="str">
        <f>IF(基本情報入力シート!W139="", "", 基本情報入力シート!W139)</f>
        <v/>
      </c>
      <c r="K111" s="614"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15" t="s">
        <v>170</v>
      </c>
      <c r="Q111" s="255"/>
      <c r="R111" s="616" t="s">
        <v>253</v>
      </c>
      <c r="S111" s="255"/>
      <c r="T111" s="616" t="s">
        <v>254</v>
      </c>
      <c r="U111" s="255"/>
      <c r="V111" s="616" t="s">
        <v>253</v>
      </c>
      <c r="W111" s="255"/>
      <c r="X111" s="616" t="s">
        <v>172</v>
      </c>
      <c r="Y111" s="616" t="s">
        <v>256</v>
      </c>
      <c r="Z111" s="616" t="str">
        <f t="shared" si="51"/>
        <v/>
      </c>
      <c r="AA111" s="617" t="s">
        <v>257</v>
      </c>
      <c r="AB111" s="618" t="str">
        <f t="shared" si="52"/>
        <v/>
      </c>
      <c r="AC111" s="619" t="str">
        <f>IFERROR(ROUNDDOWN(ROUNDDOWN(ROUND(L111*VLOOKUP(K111,【参考】数式用!$A$4:$F$57,MATCH("処遇改善加算Ⅳ",【参考】数式用!$C$3:$F$3,0)+2,0),0)*M111,0)*Z111*0.5,0), "")</f>
        <v/>
      </c>
      <c r="AD111" s="256"/>
      <c r="AE111" s="257"/>
      <c r="AF111" s="257"/>
      <c r="AG111" s="341"/>
      <c r="AH111" s="348"/>
      <c r="AI111" s="342"/>
      <c r="AJ111" s="258"/>
      <c r="AK111" s="606" t="str">
        <f t="shared" si="38"/>
        <v/>
      </c>
      <c r="AL111" s="607" t="str">
        <f t="shared" si="34"/>
        <v/>
      </c>
      <c r="AM111" s="608"/>
      <c r="AN111" s="609" t="str">
        <f>IFERROR(VLOOKUP(K111,【参考】数式用!$A$2:$N$57,14,FALSE),"")</f>
        <v/>
      </c>
      <c r="AO111" s="609" t="str">
        <f t="shared" si="39"/>
        <v/>
      </c>
      <c r="AP111" s="610" t="str">
        <f t="shared" si="40"/>
        <v/>
      </c>
      <c r="AQ111" s="611" t="str">
        <f t="shared" si="41"/>
        <v>入力済</v>
      </c>
      <c r="AR111" s="609" t="str">
        <f t="shared" si="42"/>
        <v/>
      </c>
      <c r="AS111" s="611" t="str">
        <f t="shared" si="43"/>
        <v>入力済</v>
      </c>
      <c r="AT111" s="611" t="str">
        <f t="shared" si="44"/>
        <v/>
      </c>
      <c r="AU111" s="611" t="str">
        <f t="shared" si="45"/>
        <v/>
      </c>
      <c r="AV111" s="609" t="str">
        <f t="shared" si="46"/>
        <v/>
      </c>
      <c r="AW111" s="609" t="str">
        <f t="shared" si="37"/>
        <v>入力済</v>
      </c>
      <c r="AX111" s="611" t="str">
        <f>IFERROR(VLOOKUP(K111,【参考】数式用!$AR$3:$AS$49,2, FALSE), "")</f>
        <v/>
      </c>
      <c r="AY111" s="609" t="str">
        <f t="shared" si="47"/>
        <v/>
      </c>
      <c r="AZ111" s="612" t="str">
        <f t="shared" si="48"/>
        <v>入力済</v>
      </c>
      <c r="BA111" s="611" t="str">
        <f>IFERROR(VLOOKUP(K111,【参考】数式用!$AX$3:$AY$59, 2, FALSE), "")</f>
        <v/>
      </c>
      <c r="BB111" s="609" t="str">
        <f t="shared" si="35"/>
        <v/>
      </c>
      <c r="BC111" s="612" t="str">
        <f t="shared" si="36"/>
        <v>入力済</v>
      </c>
      <c r="BD111" s="613" t="str">
        <f t="shared" si="49"/>
        <v/>
      </c>
      <c r="BE111" s="613" t="str">
        <f t="shared" si="50"/>
        <v/>
      </c>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5.08984375" style="181" customWidth="1"/>
    <col min="15" max="15" width="12" style="51" customWidth="1"/>
    <col min="16" max="16" width="6.36328125" style="182" customWidth="1"/>
    <col min="17" max="17" width="3" style="18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5" style="27" customWidth="1"/>
    <col min="27" max="27" width="7.36328125" style="27" customWidth="1"/>
    <col min="28" max="28" width="16.90625" style="27" customWidth="1"/>
    <col min="29" max="29" width="15" style="27" customWidth="1"/>
    <col min="30" max="30" width="18.08984375" style="181" customWidth="1"/>
    <col min="31" max="31" width="21.6328125" style="620"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36.36328125" style="25" customWidth="1"/>
    <col min="44" max="44" width="18.36328125" style="175" customWidth="1"/>
    <col min="45" max="45" width="21.6328125" style="25" customWidth="1"/>
    <col min="46" max="46" width="16.36328125" style="175" customWidth="1"/>
    <col min="47" max="47" width="14.36328125" style="175" customWidth="1"/>
    <col min="48" max="50" width="25.08984375" style="175" customWidth="1"/>
    <col min="51" max="52" width="17" style="175" customWidth="1"/>
    <col min="53" max="53" width="10" style="175" customWidth="1"/>
    <col min="54" max="55" width="16.36328125" style="175" customWidth="1"/>
    <col min="56" max="62" width="10" style="175" customWidth="1"/>
    <col min="63" max="63" width="14.36328125" style="175" customWidth="1"/>
    <col min="64" max="64" width="13.90625" style="175" bestFit="1" customWidth="1"/>
    <col min="65" max="65" width="15.36328125" style="175" customWidth="1"/>
    <col min="66" max="66" width="12.90625" style="175" customWidth="1"/>
    <col min="67" max="67" width="11.36328125" style="175" customWidth="1"/>
    <col min="68" max="70" width="6.90625" style="175" customWidth="1"/>
    <col min="71" max="71" width="6.90625" style="176" customWidth="1"/>
    <col min="72" max="72" width="22.08984375" customWidth="1"/>
  </cols>
  <sheetData>
    <row r="1" spans="1:72" ht="29.25" customHeight="1" thickBot="1">
      <c r="A1" s="524" t="s">
        <v>264</v>
      </c>
      <c r="B1" s="525"/>
      <c r="C1" s="525"/>
      <c r="D1" s="525"/>
      <c r="E1" s="525"/>
      <c r="F1" s="525"/>
      <c r="G1" s="356"/>
      <c r="H1" s="356"/>
      <c r="I1" s="526"/>
      <c r="J1" s="356"/>
      <c r="K1" s="157"/>
      <c r="L1" s="356"/>
      <c r="M1" s="462"/>
      <c r="N1" s="527"/>
      <c r="O1" s="527"/>
      <c r="P1" s="528"/>
      <c r="Q1" s="529"/>
      <c r="R1" s="55"/>
      <c r="S1" s="530"/>
      <c r="T1" s="530"/>
      <c r="U1" s="530"/>
      <c r="V1" s="530"/>
      <c r="W1" s="530"/>
      <c r="X1" s="530"/>
      <c r="Y1" s="530"/>
      <c r="Z1" s="530"/>
      <c r="AA1" s="530"/>
      <c r="AB1" s="530"/>
      <c r="AC1" s="530"/>
      <c r="AD1" s="531"/>
      <c r="AE1" s="532"/>
      <c r="AF1" s="533"/>
      <c r="AG1" s="26"/>
      <c r="AH1" s="26"/>
      <c r="AI1" s="534" t="s">
        <v>5</v>
      </c>
      <c r="AJ1" s="534" t="str">
        <f>IF(基本情報入力シート!C11="", "",基本情報入力シート!C11)</f>
        <v/>
      </c>
      <c r="AK1" s="535"/>
      <c r="AL1" s="535"/>
      <c r="AM1" s="535"/>
      <c r="AN1" s="535"/>
      <c r="AO1" s="536"/>
      <c r="AP1" s="535"/>
      <c r="AQ1" s="535"/>
      <c r="AS1" s="536"/>
      <c r="BK1" s="176"/>
      <c r="BL1"/>
      <c r="BM1"/>
      <c r="BN1"/>
      <c r="BO1"/>
      <c r="BP1"/>
      <c r="BQ1"/>
      <c r="BR1"/>
      <c r="BS1"/>
    </row>
    <row r="2" spans="1:72" ht="21" customHeight="1" thickBot="1">
      <c r="A2" s="537"/>
      <c r="B2" s="538"/>
      <c r="C2" s="538"/>
      <c r="D2" s="538"/>
      <c r="E2" s="538"/>
      <c r="F2" s="538"/>
      <c r="G2" s="539"/>
      <c r="H2" s="539"/>
      <c r="I2" s="540"/>
      <c r="J2" s="539"/>
      <c r="K2" s="541"/>
      <c r="L2" s="539"/>
      <c r="M2" s="542"/>
      <c r="N2" s="527"/>
      <c r="O2" s="527"/>
      <c r="P2" s="528"/>
      <c r="Q2" s="529"/>
      <c r="R2" s="55"/>
      <c r="S2" s="55"/>
      <c r="T2" s="55"/>
      <c r="U2" s="55"/>
      <c r="V2" s="55"/>
      <c r="W2" s="55"/>
      <c r="X2" s="55"/>
      <c r="Y2" s="55"/>
      <c r="Z2" s="55"/>
      <c r="AA2" s="55"/>
      <c r="AB2" s="55"/>
      <c r="AC2" s="55"/>
      <c r="AD2" s="531"/>
      <c r="AE2" s="543"/>
      <c r="AF2" s="544"/>
      <c r="AG2" s="26"/>
      <c r="AH2" s="26"/>
      <c r="AI2" s="545"/>
      <c r="AJ2" s="546"/>
      <c r="AK2" s="544"/>
      <c r="AL2" s="544"/>
      <c r="AM2" s="544"/>
      <c r="AN2" s="544"/>
      <c r="AO2" s="544"/>
      <c r="AS2" s="544"/>
      <c r="BK2" s="176"/>
      <c r="BL2"/>
      <c r="BM2"/>
      <c r="BN2"/>
      <c r="BO2"/>
      <c r="BP2"/>
      <c r="BQ2"/>
      <c r="BR2"/>
      <c r="BS2"/>
    </row>
    <row r="3" spans="1:72" ht="27" customHeight="1" thickBot="1">
      <c r="A3" s="923" t="s">
        <v>58</v>
      </c>
      <c r="B3" s="923"/>
      <c r="C3" s="924"/>
      <c r="D3" s="925" t="str">
        <f>IF(基本情報入力シート!L16="","",基本情報入力シート!L16)</f>
        <v/>
      </c>
      <c r="E3" s="926"/>
      <c r="F3" s="926"/>
      <c r="G3" s="926"/>
      <c r="H3" s="926"/>
      <c r="I3" s="926"/>
      <c r="J3" s="927"/>
      <c r="K3" s="157"/>
      <c r="L3" s="547"/>
      <c r="M3" s="548"/>
      <c r="N3" s="549"/>
      <c r="O3" s="549"/>
      <c r="P3" s="528"/>
      <c r="Q3" s="529"/>
      <c r="R3" s="55"/>
      <c r="S3" s="530"/>
      <c r="T3" s="530"/>
      <c r="U3" s="530"/>
      <c r="V3" s="530"/>
      <c r="W3" s="530"/>
      <c r="X3" s="530"/>
      <c r="Y3" s="530"/>
      <c r="Z3" s="530"/>
      <c r="AA3" s="530"/>
      <c r="AB3" s="530"/>
      <c r="AC3" s="530"/>
      <c r="AD3" s="531"/>
      <c r="AE3" s="543"/>
      <c r="AF3" s="544"/>
      <c r="AG3" s="26"/>
      <c r="AH3" s="26"/>
      <c r="AI3" s="545"/>
      <c r="AJ3" s="546"/>
      <c r="AK3" s="544"/>
      <c r="AL3" s="544"/>
      <c r="AM3" s="544"/>
      <c r="AN3" s="544"/>
      <c r="AO3" s="544"/>
      <c r="AR3" s="550"/>
      <c r="AS3" s="544"/>
      <c r="AT3" s="550"/>
      <c r="AU3" s="550"/>
      <c r="BO3" s="176"/>
      <c r="BP3"/>
      <c r="BQ3"/>
      <c r="BR3"/>
      <c r="BS3"/>
    </row>
    <row r="4" spans="1:72" ht="21" customHeight="1" thickBot="1">
      <c r="A4" s="551"/>
      <c r="B4" s="552"/>
      <c r="C4" s="552"/>
      <c r="D4" s="553"/>
      <c r="E4" s="553"/>
      <c r="F4" s="553"/>
      <c r="G4" s="554"/>
      <c r="H4" s="554"/>
      <c r="I4" s="554"/>
      <c r="J4" s="554"/>
      <c r="K4" s="554"/>
      <c r="L4" s="547"/>
      <c r="M4" s="548"/>
      <c r="N4" s="549"/>
      <c r="O4" s="549"/>
      <c r="P4" s="528"/>
      <c r="Q4" s="529"/>
      <c r="R4" s="55"/>
      <c r="S4" s="530"/>
      <c r="T4" s="530"/>
      <c r="U4" s="530"/>
      <c r="V4" s="530"/>
      <c r="W4" s="530"/>
      <c r="X4" s="530"/>
      <c r="Y4" s="530"/>
      <c r="Z4" s="530"/>
      <c r="AA4" s="530"/>
      <c r="AB4" s="530"/>
      <c r="AC4" s="530"/>
      <c r="AD4" s="531"/>
      <c r="AE4" s="963" t="s">
        <v>2468</v>
      </c>
      <c r="AF4" s="963"/>
      <c r="AG4" s="963"/>
      <c r="AH4" s="963"/>
      <c r="AI4" s="963"/>
      <c r="AJ4" s="963"/>
      <c r="AK4" s="544"/>
      <c r="AL4" s="544"/>
      <c r="AM4" s="544"/>
      <c r="AN4" s="544"/>
      <c r="AO4" s="544"/>
      <c r="AS4" s="544"/>
      <c r="BO4" s="176"/>
      <c r="BP4"/>
      <c r="BQ4"/>
      <c r="BR4"/>
      <c r="BS4"/>
    </row>
    <row r="5" spans="1:72" ht="51" customHeight="1" thickBot="1">
      <c r="A5" s="976" t="s">
        <v>265</v>
      </c>
      <c r="B5" s="977"/>
      <c r="C5" s="977"/>
      <c r="D5" s="977"/>
      <c r="E5" s="977"/>
      <c r="F5" s="977"/>
      <c r="G5" s="977"/>
      <c r="H5" s="977"/>
      <c r="I5" s="977"/>
      <c r="J5" s="978"/>
      <c r="K5" s="621" t="s">
        <v>266</v>
      </c>
      <c r="L5" s="968" t="s">
        <v>2490</v>
      </c>
      <c r="M5" s="968"/>
      <c r="N5" s="622" t="s">
        <v>2491</v>
      </c>
      <c r="O5" s="623"/>
      <c r="P5" s="556"/>
      <c r="Q5" s="528"/>
      <c r="R5" s="529"/>
      <c r="S5" s="55"/>
      <c r="T5" s="530"/>
      <c r="U5" s="530"/>
      <c r="V5" s="530"/>
      <c r="W5" s="530"/>
      <c r="X5" s="530"/>
      <c r="Y5" s="530"/>
      <c r="Z5" s="530"/>
      <c r="AA5" s="530"/>
      <c r="AB5" s="530"/>
      <c r="AC5" s="530"/>
      <c r="AD5" s="531"/>
      <c r="AE5" s="910" t="s">
        <v>207</v>
      </c>
      <c r="AF5" s="911"/>
      <c r="AG5" s="911"/>
      <c r="AH5" s="911"/>
      <c r="AI5" s="912"/>
      <c r="AJ5" s="557">
        <f>COUNTIF(AU:AU,"対象")</f>
        <v>0</v>
      </c>
      <c r="AK5" s="558"/>
      <c r="AL5" s="558"/>
      <c r="AM5" s="558"/>
      <c r="AN5" s="558"/>
      <c r="AO5" s="559"/>
      <c r="AP5" s="560"/>
      <c r="AQ5" s="560"/>
      <c r="AS5" s="559"/>
      <c r="BO5" s="176"/>
      <c r="BP5"/>
      <c r="BQ5"/>
      <c r="BR5"/>
      <c r="BS5"/>
    </row>
    <row r="6" spans="1:72" ht="35.25" customHeight="1" thickBot="1">
      <c r="A6" s="970" t="s">
        <v>206</v>
      </c>
      <c r="B6" s="971"/>
      <c r="C6" s="971"/>
      <c r="D6" s="971"/>
      <c r="E6" s="971"/>
      <c r="F6" s="971"/>
      <c r="G6" s="971"/>
      <c r="H6" s="971"/>
      <c r="I6" s="971"/>
      <c r="J6" s="972"/>
      <c r="K6" s="624">
        <f>IFERROR(SUM($AB:$AB),"")</f>
        <v>0</v>
      </c>
      <c r="L6" s="969">
        <f>IFERROR(SUMIF($AN$12:$AN$111,"加算対象",$AB12:$AB111),"")</f>
        <v>0</v>
      </c>
      <c r="M6" s="969"/>
      <c r="N6" s="625">
        <f>IFERROR(SUMIF($AN$12:$AN$111,"加算対象外",$AB12:$AB111),"")</f>
        <v>0</v>
      </c>
      <c r="O6" s="555" t="s">
        <v>66</v>
      </c>
      <c r="P6" s="556"/>
      <c r="Q6" s="528"/>
      <c r="R6" s="529"/>
      <c r="S6" s="55"/>
      <c r="T6" s="530"/>
      <c r="U6" s="530"/>
      <c r="V6" s="530"/>
      <c r="W6" s="530"/>
      <c r="X6" s="530"/>
      <c r="Y6" s="530"/>
      <c r="Z6" s="530"/>
      <c r="AA6" s="530"/>
      <c r="AB6" s="530"/>
      <c r="AC6" s="530"/>
      <c r="AD6" s="531"/>
      <c r="AE6" s="910" t="s">
        <v>209</v>
      </c>
      <c r="AF6" s="911"/>
      <c r="AG6" s="911"/>
      <c r="AH6" s="911"/>
      <c r="AI6" s="912"/>
      <c r="AJ6" s="562">
        <f>SUM(AG12:AG111)</f>
        <v>0</v>
      </c>
      <c r="AK6" s="559"/>
      <c r="AL6" s="559"/>
      <c r="AM6" s="559"/>
      <c r="AN6" s="559"/>
      <c r="AO6" s="559"/>
      <c r="AP6" s="560"/>
      <c r="AQ6" s="560"/>
      <c r="AS6" s="559"/>
      <c r="AV6" s="563"/>
      <c r="AW6" s="563"/>
      <c r="AX6" s="563"/>
      <c r="AY6" s="904"/>
      <c r="AZ6" s="904"/>
      <c r="BA6" s="904"/>
      <c r="BB6" s="904"/>
      <c r="BC6" s="904"/>
      <c r="BD6" s="904"/>
      <c r="BE6" s="904"/>
      <c r="BF6" s="904"/>
      <c r="BG6" s="904"/>
      <c r="BH6" s="904"/>
      <c r="BI6" s="904"/>
      <c r="BJ6" s="904"/>
      <c r="BK6" s="904"/>
      <c r="BL6" s="904"/>
      <c r="BM6" s="904"/>
      <c r="BN6" s="177"/>
      <c r="BO6" s="904"/>
      <c r="BP6" s="904"/>
      <c r="BQ6" s="904"/>
      <c r="BR6" s="904"/>
      <c r="BS6" s="904"/>
    </row>
    <row r="7" spans="1:72" ht="35.25" customHeight="1" thickBot="1">
      <c r="A7" s="626"/>
      <c r="B7" s="973" t="s">
        <v>208</v>
      </c>
      <c r="C7" s="974"/>
      <c r="D7" s="974"/>
      <c r="E7" s="974"/>
      <c r="F7" s="974"/>
      <c r="G7" s="974"/>
      <c r="H7" s="974"/>
      <c r="I7" s="974"/>
      <c r="J7" s="975"/>
      <c r="K7" s="624">
        <f>IFERROR(SUM($AC:$AC),"")</f>
        <v>0</v>
      </c>
      <c r="L7" s="969">
        <f>IFERROR(SUMIF($AN$12:$AN$111,"加算対象",$AC12:$AC111),"")</f>
        <v>0</v>
      </c>
      <c r="M7" s="969"/>
      <c r="N7" s="627"/>
      <c r="O7" s="555" t="s">
        <v>66</v>
      </c>
      <c r="P7" s="556"/>
      <c r="Q7" s="528"/>
      <c r="R7" s="529"/>
      <c r="S7" s="55"/>
      <c r="T7" s="530"/>
      <c r="U7" s="530"/>
      <c r="V7" s="530"/>
      <c r="W7" s="530"/>
      <c r="X7" s="530"/>
      <c r="Y7" s="530"/>
      <c r="Z7" s="530"/>
      <c r="AA7" s="530"/>
      <c r="AB7" s="530"/>
      <c r="AC7" s="530"/>
      <c r="AD7" s="531"/>
      <c r="AE7" s="910" t="s">
        <v>211</v>
      </c>
      <c r="AF7" s="911"/>
      <c r="AG7" s="911"/>
      <c r="AH7" s="911"/>
      <c r="AI7" s="912"/>
      <c r="AJ7" s="562">
        <f>COUNTIF(AH:AH,"令和８年度特例要件を満たす")</f>
        <v>0</v>
      </c>
      <c r="AK7" s="559"/>
      <c r="AL7" s="559"/>
      <c r="AM7" s="559"/>
      <c r="AN7" s="559"/>
      <c r="AO7" s="559"/>
      <c r="AP7" s="560"/>
      <c r="AQ7" s="560"/>
      <c r="AS7" s="559"/>
      <c r="AV7" s="563"/>
      <c r="AW7" s="563"/>
      <c r="AX7" s="563"/>
      <c r="AY7" s="177"/>
      <c r="AZ7" s="177"/>
      <c r="BA7" s="177"/>
      <c r="BB7" s="177"/>
      <c r="BC7" s="177"/>
      <c r="BD7" s="177"/>
      <c r="BE7" s="177"/>
      <c r="BF7" s="177"/>
      <c r="BG7" s="177"/>
      <c r="BH7" s="177"/>
      <c r="BI7" s="177"/>
      <c r="BJ7" s="177"/>
      <c r="BK7" s="177"/>
      <c r="BL7" s="177"/>
      <c r="BM7" s="177"/>
      <c r="BN7" s="177"/>
      <c r="BO7" s="177"/>
      <c r="BP7" s="177"/>
      <c r="BQ7" s="177"/>
      <c r="BR7" s="177"/>
      <c r="BS7" s="177"/>
    </row>
    <row r="8" spans="1:72" ht="35.25" customHeight="1" thickBot="1">
      <c r="A8" s="26"/>
      <c r="B8" s="565"/>
      <c r="C8" s="565"/>
      <c r="D8" s="565"/>
      <c r="E8" s="565"/>
      <c r="F8" s="565"/>
      <c r="G8" s="26"/>
      <c r="H8" s="26"/>
      <c r="I8" s="566"/>
      <c r="J8" s="26"/>
      <c r="K8" s="55"/>
      <c r="L8" s="26"/>
      <c r="M8" s="567"/>
      <c r="N8" s="527"/>
      <c r="O8" s="527"/>
      <c r="P8" s="568"/>
      <c r="Q8" s="529"/>
      <c r="R8" s="55"/>
      <c r="S8" s="55"/>
      <c r="T8" s="55"/>
      <c r="U8" s="530"/>
      <c r="V8" s="55"/>
      <c r="W8" s="55"/>
      <c r="X8" s="55"/>
      <c r="Y8" s="55"/>
      <c r="Z8" s="55"/>
      <c r="AA8" s="55"/>
      <c r="AB8" s="55"/>
      <c r="AC8" s="55"/>
      <c r="AD8" s="543"/>
      <c r="AE8" s="543"/>
      <c r="AF8" s="544"/>
      <c r="AG8" s="26"/>
      <c r="AH8" s="26"/>
      <c r="AI8" s="545"/>
      <c r="AJ8" s="546"/>
      <c r="AK8" s="544"/>
      <c r="AL8" s="544"/>
      <c r="AM8" s="544"/>
      <c r="AN8" s="544"/>
      <c r="AO8" s="175"/>
      <c r="AP8" s="175"/>
      <c r="AQ8" s="175"/>
      <c r="AR8" s="901"/>
      <c r="AS8" s="901"/>
      <c r="AT8" s="901"/>
      <c r="AU8" s="901"/>
      <c r="AV8" s="901"/>
      <c r="AW8" s="901"/>
      <c r="AX8" s="901"/>
      <c r="AY8" s="901"/>
      <c r="AZ8" s="569"/>
      <c r="BA8" s="901"/>
      <c r="BB8" s="901"/>
      <c r="BC8" s="901"/>
      <c r="BD8" s="901"/>
      <c r="BE8" s="901"/>
      <c r="BF8" s="901"/>
      <c r="BG8" s="901"/>
      <c r="BH8" s="901"/>
      <c r="BI8" s="901"/>
      <c r="BJ8" s="569"/>
      <c r="BK8" s="901"/>
      <c r="BL8" s="901"/>
      <c r="BM8" s="901"/>
      <c r="BN8" s="901"/>
      <c r="BO8" s="901"/>
      <c r="BP8"/>
      <c r="BQ8"/>
      <c r="BR8"/>
      <c r="BS8"/>
    </row>
    <row r="9" spans="1:72" s="26" customFormat="1" ht="31.9" customHeight="1" thickBot="1">
      <c r="B9" s="565"/>
      <c r="C9" s="565"/>
      <c r="D9" s="565"/>
      <c r="E9" s="565"/>
      <c r="F9" s="565"/>
      <c r="I9" s="566"/>
      <c r="K9" s="55"/>
      <c r="M9" s="462"/>
      <c r="N9" s="572" t="str">
        <f>IF(D3="", "", IFERROR(IF(COUNTIF(AO12:AO111,"N列に色付け")=COUNTA(N12:N111),"○","×"),""))</f>
        <v/>
      </c>
      <c r="O9" s="529"/>
      <c r="P9" s="55"/>
      <c r="Q9" s="530"/>
      <c r="R9" s="530"/>
      <c r="S9" s="530"/>
      <c r="T9" s="530"/>
      <c r="U9" s="530"/>
      <c r="V9" s="530"/>
      <c r="W9" s="530"/>
      <c r="X9" s="530"/>
      <c r="Y9" s="530"/>
      <c r="Z9" s="530"/>
      <c r="AA9" s="530"/>
      <c r="AB9" s="571"/>
      <c r="AC9" s="902" t="str">
        <f>IF(D3="", "", IFERROR(IF(COUNTIF(AP12:AP111,"未入力")=0,"○","×"),""))</f>
        <v/>
      </c>
      <c r="AD9" s="903"/>
      <c r="AE9" s="572" t="str">
        <f>IF(D3="", "", IFERROR(IF(COUNTIF(AR:AR,"未入力")=0,"○","×"),""))</f>
        <v/>
      </c>
      <c r="AF9" s="572" t="str">
        <f>IF(D3="", "", IFERROR(IF(COUNTIF(AT:AT,"未入力")=0,"○","×"),""))</f>
        <v/>
      </c>
      <c r="AG9" s="902" t="str">
        <f>IF(D3="", "", IFERROR(IF(COUNTIF(AX:AX,"未入力")=0,"○","×"),""))</f>
        <v/>
      </c>
      <c r="AH9" s="903"/>
      <c r="AI9" s="573" t="str">
        <f>IF(D3="","", IF(COUNTIF(BA:BA,"未入力")=0,"○","×"))</f>
        <v/>
      </c>
      <c r="AJ9" s="573" t="str">
        <f>IF(D3="","",IF(BJ12=0,"",IF(COUNTIF(BD12:BD111,"未入力")+COUNTIF(BH12:BH111,"未入力")=0,"○","×")))</f>
        <v/>
      </c>
      <c r="AK9" s="574"/>
      <c r="AL9" s="574"/>
      <c r="AM9" s="544"/>
      <c r="AN9" s="544"/>
      <c r="BB9" s="575"/>
      <c r="BC9" s="575"/>
      <c r="BD9" s="575"/>
      <c r="BE9" s="575"/>
      <c r="BF9" s="575"/>
      <c r="BG9" s="575"/>
      <c r="BH9" s="575"/>
      <c r="BI9" s="575"/>
      <c r="BJ9" s="575"/>
      <c r="BK9" s="575"/>
      <c r="BL9" s="575"/>
      <c r="BM9" s="576"/>
    </row>
    <row r="10" spans="1:72" ht="53.25" customHeight="1" thickBot="1">
      <c r="A10" s="949"/>
      <c r="B10" s="951" t="s">
        <v>212</v>
      </c>
      <c r="C10" s="952"/>
      <c r="D10" s="952"/>
      <c r="E10" s="952"/>
      <c r="F10" s="953"/>
      <c r="G10" s="957" t="s">
        <v>38</v>
      </c>
      <c r="H10" s="916" t="s">
        <v>39</v>
      </c>
      <c r="I10" s="916"/>
      <c r="J10" s="917" t="s">
        <v>213</v>
      </c>
      <c r="K10" s="919" t="s">
        <v>41</v>
      </c>
      <c r="L10" s="942" t="s">
        <v>214</v>
      </c>
      <c r="M10" s="944" t="s">
        <v>215</v>
      </c>
      <c r="N10" s="964" t="s">
        <v>267</v>
      </c>
      <c r="O10" s="966" t="s">
        <v>217</v>
      </c>
      <c r="P10" s="932" t="s">
        <v>2469</v>
      </c>
      <c r="Q10" s="933"/>
      <c r="R10" s="933"/>
      <c r="S10" s="933"/>
      <c r="T10" s="933"/>
      <c r="U10" s="933"/>
      <c r="V10" s="933"/>
      <c r="W10" s="933"/>
      <c r="X10" s="933"/>
      <c r="Y10" s="933"/>
      <c r="Z10" s="933"/>
      <c r="AA10" s="934"/>
      <c r="AB10" s="938" t="s">
        <v>219</v>
      </c>
      <c r="AC10" s="940" t="s">
        <v>220</v>
      </c>
      <c r="AD10" s="941"/>
      <c r="AE10" s="577" t="s">
        <v>221</v>
      </c>
      <c r="AF10" s="577" t="s">
        <v>222</v>
      </c>
      <c r="AG10" s="959" t="s">
        <v>223</v>
      </c>
      <c r="AH10" s="941"/>
      <c r="AI10" s="578" t="s">
        <v>224</v>
      </c>
      <c r="AJ10" s="579" t="s">
        <v>225</v>
      </c>
      <c r="AK10" s="580"/>
      <c r="AL10" s="580"/>
      <c r="AM10" s="581"/>
      <c r="AN10" s="582" t="s">
        <v>226</v>
      </c>
      <c r="AO10" s="583"/>
      <c r="AR10" s="32"/>
      <c r="AS10" s="32"/>
      <c r="AT10" s="32"/>
      <c r="AU10" s="32"/>
      <c r="AV10" s="32"/>
      <c r="AW10" s="32"/>
      <c r="AX10" s="32"/>
      <c r="AY10" s="32"/>
      <c r="AZ10" s="32"/>
      <c r="BA10" s="32"/>
      <c r="BB10" s="32"/>
      <c r="BC10" s="32"/>
      <c r="BD10" s="32"/>
      <c r="BE10" s="32"/>
      <c r="BF10" s="32"/>
      <c r="BG10" s="32"/>
      <c r="BH10" s="32"/>
      <c r="BI10" s="32"/>
      <c r="BJ10" s="32"/>
      <c r="BK10" s="32"/>
      <c r="BL10" s="32"/>
      <c r="BQ10" s="176"/>
      <c r="BR10" s="178"/>
      <c r="BS10"/>
    </row>
    <row r="11" spans="1:72" ht="159.75" customHeight="1" thickBot="1">
      <c r="A11" s="950"/>
      <c r="B11" s="954"/>
      <c r="C11" s="955"/>
      <c r="D11" s="955"/>
      <c r="E11" s="955"/>
      <c r="F11" s="956"/>
      <c r="G11" s="958"/>
      <c r="H11" s="584" t="s">
        <v>227</v>
      </c>
      <c r="I11" s="584" t="s">
        <v>228</v>
      </c>
      <c r="J11" s="918"/>
      <c r="K11" s="920"/>
      <c r="L11" s="943"/>
      <c r="M11" s="945"/>
      <c r="N11" s="965"/>
      <c r="O11" s="967"/>
      <c r="P11" s="935"/>
      <c r="Q11" s="936"/>
      <c r="R11" s="936"/>
      <c r="S11" s="936"/>
      <c r="T11" s="936"/>
      <c r="U11" s="936"/>
      <c r="V11" s="936"/>
      <c r="W11" s="936"/>
      <c r="X11" s="936"/>
      <c r="Y11" s="936"/>
      <c r="Z11" s="936"/>
      <c r="AA11" s="937"/>
      <c r="AB11" s="939"/>
      <c r="AC11" s="585" t="s">
        <v>229</v>
      </c>
      <c r="AD11" s="586" t="s">
        <v>230</v>
      </c>
      <c r="AE11" s="587" t="s">
        <v>231</v>
      </c>
      <c r="AF11" s="588" t="s">
        <v>232</v>
      </c>
      <c r="AG11" s="588" t="s">
        <v>233</v>
      </c>
      <c r="AH11" s="628" t="s">
        <v>2470</v>
      </c>
      <c r="AI11" s="590" t="s">
        <v>234</v>
      </c>
      <c r="AJ11" s="591" t="s">
        <v>235</v>
      </c>
      <c r="AK11" s="921" t="s">
        <v>236</v>
      </c>
      <c r="AL11" s="922"/>
      <c r="AM11" s="592"/>
      <c r="AN11" s="593" t="s">
        <v>268</v>
      </c>
      <c r="AO11" s="593" t="s">
        <v>238</v>
      </c>
      <c r="AP11" s="594" t="s">
        <v>239</v>
      </c>
      <c r="AQ11" s="593" t="s">
        <v>269</v>
      </c>
      <c r="AR11" s="593" t="s">
        <v>240</v>
      </c>
      <c r="AS11" s="593" t="s">
        <v>241</v>
      </c>
      <c r="AT11" s="593" t="s">
        <v>242</v>
      </c>
      <c r="AU11" s="595" t="s">
        <v>2463</v>
      </c>
      <c r="AV11" s="595" t="s">
        <v>243</v>
      </c>
      <c r="AW11" s="593" t="s">
        <v>244</v>
      </c>
      <c r="AX11" s="595" t="s">
        <v>2479</v>
      </c>
      <c r="AY11" s="595" t="s">
        <v>245</v>
      </c>
      <c r="AZ11" s="593" t="s">
        <v>246</v>
      </c>
      <c r="BA11" s="595" t="s">
        <v>247</v>
      </c>
      <c r="BB11" s="595" t="s">
        <v>248</v>
      </c>
      <c r="BC11" s="593" t="s">
        <v>249</v>
      </c>
      <c r="BD11" s="595" t="s">
        <v>250</v>
      </c>
      <c r="BE11" s="595" t="s">
        <v>2467</v>
      </c>
      <c r="BF11" s="595" t="s">
        <v>2489</v>
      </c>
      <c r="BG11" s="595" t="s">
        <v>2476</v>
      </c>
      <c r="BH11" s="595" t="s">
        <v>2485</v>
      </c>
      <c r="BI11" s="596" t="s">
        <v>251</v>
      </c>
      <c r="BJ11" s="597" t="s">
        <v>2495</v>
      </c>
      <c r="BK11"/>
      <c r="BL11" s="598" t="s">
        <v>2498</v>
      </c>
      <c r="BM11"/>
      <c r="BN11"/>
      <c r="BO11"/>
      <c r="BP11"/>
      <c r="BQ11"/>
      <c r="BR11"/>
      <c r="BS11"/>
    </row>
    <row r="12" spans="1:72" ht="109.9" customHeight="1" thickBot="1">
      <c r="A12" s="599">
        <v>1</v>
      </c>
      <c r="B12" s="913" t="str">
        <f>IF(基本情報入力シート!B40="","",基本情報入力シート!B40)</f>
        <v/>
      </c>
      <c r="C12" s="914"/>
      <c r="D12" s="914"/>
      <c r="E12" s="914"/>
      <c r="F12" s="915"/>
      <c r="G12" s="600" t="str">
        <f>IF(基本情報入力シート!L40="", "", 基本情報入力シート!L40)</f>
        <v/>
      </c>
      <c r="H12" s="600" t="str">
        <f>IF(基本情報入力シート!Q40="", "", 基本情報入力シート!Q40)</f>
        <v/>
      </c>
      <c r="I12" s="600" t="str">
        <f>IF(基本情報入力シート!V40="", "", 基本情報入力シート!V40)</f>
        <v/>
      </c>
      <c r="J12" s="600" t="str">
        <f>IF(基本情報入力シート!W40="", "", 基本情報入力シート!W40)</f>
        <v/>
      </c>
      <c r="K12" s="600"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01" t="s">
        <v>170</v>
      </c>
      <c r="Q12" s="225"/>
      <c r="R12" s="602" t="s">
        <v>253</v>
      </c>
      <c r="S12" s="225"/>
      <c r="T12" s="602" t="s">
        <v>254</v>
      </c>
      <c r="U12" s="225"/>
      <c r="V12" s="602" t="s">
        <v>253</v>
      </c>
      <c r="W12" s="225"/>
      <c r="X12" s="602" t="s">
        <v>255</v>
      </c>
      <c r="Y12" s="602" t="s">
        <v>256</v>
      </c>
      <c r="Z12" s="602" t="str">
        <f>IF(Q12&gt;=1,(U12*12+W12)-(Q12*12+S12)+1,"")</f>
        <v/>
      </c>
      <c r="AA12" s="603" t="s">
        <v>257</v>
      </c>
      <c r="AB12" s="604" t="str">
        <f>IFERROR(ROUNDDOWN(ROUND(L12*O12,0)*M12,0)*Z12,"")</f>
        <v/>
      </c>
      <c r="AC12" s="605" t="str">
        <f>IFERROR(ROUNDDOWN(ROUNDDOWN(ROUND(L12*VLOOKUP(K12,【参考】数式用!$A$2:$M$57,MATCH("処遇改善加算Ⅳ",【参考】数式用!$G$3:$M$3,0)+6,0),0)*M12,0)*Z12*0.5,0), "")</f>
        <v/>
      </c>
      <c r="AD12" s="245"/>
      <c r="AE12" s="246"/>
      <c r="AF12" s="246"/>
      <c r="AG12" s="247"/>
      <c r="AH12" s="248"/>
      <c r="AI12" s="249"/>
      <c r="AJ12" s="250"/>
      <c r="AK12" s="60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0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08"/>
      <c r="AN12" s="609" t="str">
        <f>IFERROR(VLOOKUP(K12,【参考】数式用!$A$2:$N$57,14,FALSE),"")</f>
        <v/>
      </c>
      <c r="AO12" s="609" t="str">
        <f>IF(AND(K12&lt;&gt;""),"N列に色付け","")</f>
        <v/>
      </c>
      <c r="AP12" s="610" t="str">
        <f>IF(AND(AC12&lt;&gt;0,AC12&lt;&gt;"",AN12="加算対象"),IF(AD12="○","入力済","未入力"),"")</f>
        <v/>
      </c>
      <c r="AQ12" s="610" t="str">
        <f>"キャリアパス要件Ⅰ・Ⅱ_"&amp;AN12</f>
        <v>キャリアパス要件Ⅰ・Ⅱ_</v>
      </c>
      <c r="AR12" s="611" t="str">
        <f>IF(AND(N12&lt;&gt;"", AE12=""), "未入力", "入力済")</f>
        <v>入力済</v>
      </c>
      <c r="AS12" s="609" t="str">
        <f>IF(AND(N12&lt;&gt;"", N12&lt;&gt;"処遇改善加算Ⅳ",AN12="加算対象"),"AF列に色付け","")</f>
        <v/>
      </c>
      <c r="AT12" s="611" t="str">
        <f>IF(AND(N12&lt;&gt;"", N12&lt;&gt;"処遇改善加算Ⅳ",N12&lt;&gt;"処遇改善加算", AF12=""), "未入力", "入力済")</f>
        <v>入力済</v>
      </c>
      <c r="AU12" s="611" t="str">
        <f>IF(OR(ISNUMBER(SEARCH("処遇改善加算Ⅰ",N12)),ISNUMBER(SEARCH("処遇改善加算Ⅱ",N12))),"対象","")</f>
        <v/>
      </c>
      <c r="AV12" s="611" t="str">
        <f>IF(AND(AN12="加算対象",N12&lt;&gt;"処遇改善加算Ⅲ",N12&lt;&gt;"処遇改善加算Ⅳ", N12&lt;&gt;"", AU12&lt;&gt;"対象外"), 1,"")</f>
        <v/>
      </c>
      <c r="AW12" s="609" t="str">
        <f>IF(AND(AV12=1, OR(AG12=0,AG12=""),AN12="加算対象"),"AH列に色付け","")</f>
        <v/>
      </c>
      <c r="AX12" s="609" t="str">
        <f>IF(AND($AV12=1,$AW12="AH列に色付け",OR($AG12="",$AH12="")),"未入力",IF(AND($AV12=1,$AW12="",$AG12=""),"未入力","入力済"))</f>
        <v>入力済</v>
      </c>
      <c r="AY12" s="611" t="str">
        <f>IFERROR(VLOOKUP(K12,【参考】数式用!$AR$3:$AS$49, 2, FALSE), "")</f>
        <v/>
      </c>
      <c r="AZ12" s="609" t="str">
        <f>IF(AND(AN12="加算対象",OR(N12="処遇改善加算Ⅰイ",N12="処遇改善加算Ⅰロ")),"AI列に色付け","")</f>
        <v/>
      </c>
      <c r="BA12" s="612" t="str">
        <f>IF(AND(OR(N12="処遇改善加算Ⅰイ",N12="処遇改善加算Ⅰロ"), AI12=""), "未入力","入力済")</f>
        <v>入力済</v>
      </c>
      <c r="BB12" s="611" t="str">
        <f>IFERROR(VLOOKUP(K12,【参考】数式用!$AX$3:$AY$59, 2, FALSE), "")</f>
        <v/>
      </c>
      <c r="BC12" s="609" t="str">
        <f>IF(OR(COUNTIF(AE12:AH12,"*令和８年度特例要件を*")&gt;0,ISNUMBER(SEARCH("処遇改善加算Ⅰロ",N12)),ISNUMBER(SEARCH("処遇改善加算Ⅱロ",N12)),AN12="加算対象外"),"AJ列に色付け","")</f>
        <v/>
      </c>
      <c r="BD12" s="612" t="str">
        <f>IF(AND(COUNTIF(AE12:AH12,"*令和８年度特例要件を*")&gt;0,AJ12=""), "未入力","入力済")</f>
        <v>入力済</v>
      </c>
      <c r="BE12" s="612" t="str">
        <f>IF(AH12="その他（小規模事業所等である等）","AJ列色消し",IF(OR(ISNUMBER(SEARCH("処遇改善加算Ⅰロ",N12)),ISNUMBER(SEARCH("処遇改善加算Ⅱロ",N12))),"",IF(AND(BC12="AJ列に色付け",AE12="○",AF12="○",AG12&gt;=1),"AJ列色消し","")))</f>
        <v/>
      </c>
      <c r="BF12" s="612" t="str">
        <f>IF(AND(N12="処遇改善加算",AE12="○"),"AJ列色消し","")</f>
        <v/>
      </c>
      <c r="BG12" s="612" t="str">
        <f>IF(OR(TRIM(BC12)="",BE12="AJ列色消し",BF12="AJ列色消し"),"","入力必要")</f>
        <v/>
      </c>
      <c r="BH12" s="612" t="str">
        <f>IF(AND(BE12="",BG12="入力必要"),IF(AJ12="","未入力","入力済"),"")</f>
        <v/>
      </c>
      <c r="BI12" s="612" t="str">
        <f>G12</f>
        <v/>
      </c>
      <c r="BJ12" s="32">
        <f>IF(COUNTIF(BG:BG,"*入力必要*"),1,0)</f>
        <v>0</v>
      </c>
      <c r="BK12" s="32" t="str">
        <f>IF(D3="", "", IF(SUM(AJ6:AJ7)&gt;=AJ5,"○","×"))</f>
        <v/>
      </c>
      <c r="BL12" s="32">
        <f>IF(COUNTIF(AH$12:AH$1048576,"*その他（小規模等により適用除外）*"),1,0)</f>
        <v>0</v>
      </c>
      <c r="BM12"/>
      <c r="BN12"/>
      <c r="BO12"/>
      <c r="BP12"/>
      <c r="BQ12" s="180"/>
      <c r="BR12"/>
      <c r="BS12"/>
    </row>
    <row r="13" spans="1:72" s="181" customFormat="1" ht="109.9" customHeight="1" thickBot="1">
      <c r="A13" s="599">
        <v>2</v>
      </c>
      <c r="B13" s="913" t="str">
        <f>IF(基本情報入力シート!B41="","",基本情報入力シート!B41)</f>
        <v/>
      </c>
      <c r="C13" s="914"/>
      <c r="D13" s="914"/>
      <c r="E13" s="914"/>
      <c r="F13" s="915"/>
      <c r="G13" s="600" t="str">
        <f>IF(基本情報入力シート!L41="", "", 基本情報入力シート!L41)</f>
        <v/>
      </c>
      <c r="H13" s="600" t="str">
        <f>IF(基本情報入力シート!Q41="", "", 基本情報入力シート!Q41)</f>
        <v/>
      </c>
      <c r="I13" s="600" t="str">
        <f>IF(基本情報入力シート!V41="", "", 基本情報入力シート!V41)</f>
        <v/>
      </c>
      <c r="J13" s="600" t="str">
        <f>IF(基本情報入力シート!W41="", "", 基本情報入力シート!W41)</f>
        <v/>
      </c>
      <c r="K13" s="600"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01" t="s">
        <v>170</v>
      </c>
      <c r="Q13" s="225"/>
      <c r="R13" s="602" t="s">
        <v>253</v>
      </c>
      <c r="S13" s="225"/>
      <c r="T13" s="602" t="s">
        <v>254</v>
      </c>
      <c r="U13" s="225"/>
      <c r="V13" s="602" t="s">
        <v>253</v>
      </c>
      <c r="W13" s="225"/>
      <c r="X13" s="602" t="s">
        <v>255</v>
      </c>
      <c r="Y13" s="602" t="s">
        <v>256</v>
      </c>
      <c r="Z13" s="602" t="str">
        <f>IF(Q13&gt;=1,(U13*12+W13)-(Q13*12+S13)+1,"")</f>
        <v/>
      </c>
      <c r="AA13" s="603" t="s">
        <v>257</v>
      </c>
      <c r="AB13" s="604" t="str">
        <f>IFERROR(ROUNDDOWN(ROUND(L13*O13,0)*M13,0)*Z13,"")</f>
        <v/>
      </c>
      <c r="AC13" s="605" t="str">
        <f>IFERROR(ROUNDDOWN(ROUNDDOWN(ROUND(L13*VLOOKUP(K13,【参考】数式用!$A$2:$M$57,MATCH("処遇改善加算Ⅳ",【参考】数式用!$G$3:$M$3,0)+6,0),0)*M13,0)*Z13*0.5,0), "")</f>
        <v/>
      </c>
      <c r="AD13" s="245"/>
      <c r="AE13" s="246"/>
      <c r="AF13" s="246"/>
      <c r="AG13" s="247"/>
      <c r="AH13" s="248"/>
      <c r="AI13" s="249"/>
      <c r="AJ13" s="250"/>
      <c r="AK13" s="60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0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08"/>
      <c r="AN13" s="609" t="str">
        <f>IFERROR(VLOOKUP(K13,【参考】数式用!$A$2:$N$57,14,FALSE),"")</f>
        <v/>
      </c>
      <c r="AO13" s="609" t="str">
        <f t="shared" ref="AO13:AO77" si="1">IF(AND(K13&lt;&gt;""),"N列に色付け","")</f>
        <v/>
      </c>
      <c r="AP13" s="610" t="str">
        <f>IF(AND(AC13&lt;&gt;0,AC13&lt;&gt;"",AN13="加算対象"),IF(AD13="○","入力済","未入力"),"")</f>
        <v/>
      </c>
      <c r="AQ13" s="610" t="str">
        <f>"キャリアパス要件Ⅰ・Ⅱ_"&amp;AN13</f>
        <v>キャリアパス要件Ⅰ・Ⅱ_</v>
      </c>
      <c r="AR13" s="611" t="str">
        <f>IF(AND(N13&lt;&gt;"", AE13=""), "未入力", "入力済")</f>
        <v>入力済</v>
      </c>
      <c r="AS13" s="609" t="str">
        <f t="shared" ref="AS13:AS77" si="2">IF(AND(N13&lt;&gt;"", N13&lt;&gt;"処遇改善加算Ⅳ",AN13="加算対象"),"AF列に色付け","")</f>
        <v/>
      </c>
      <c r="AT13" s="611" t="str">
        <f t="shared" ref="AT13:AT77" si="3">IF(AND(N13&lt;&gt;"", N13&lt;&gt;"処遇改善加算Ⅳ",N13&lt;&gt;"処遇改善加算", AF13=""), "未入力", "入力済")</f>
        <v>入力済</v>
      </c>
      <c r="AU13" s="611" t="str">
        <f t="shared" ref="AU13:AU77" si="4">IF(OR(ISNUMBER(SEARCH("処遇改善加算Ⅰ",N13)),ISNUMBER(SEARCH("処遇改善加算Ⅱ",N13))),"対象","")</f>
        <v/>
      </c>
      <c r="AV13" s="611" t="str">
        <f t="shared" ref="AV13:AV77" si="5">IF(AND(AN13="加算対象",N13&lt;&gt;"処遇改善加算Ⅲ",N13&lt;&gt;"処遇改善加算Ⅳ", N13&lt;&gt;"", AU13&lt;&gt;"対象外"), 1,"")</f>
        <v/>
      </c>
      <c r="AW13" s="609" t="str">
        <f t="shared" ref="AW13:AW77" si="6">IF(AND(AV13=1, OR(AG13=0,AG13=""),AN13="加算対象"),"AH列に色付け","")</f>
        <v/>
      </c>
      <c r="AX13" s="609" t="str">
        <f t="shared" ref="AX13:AX76" si="7">IF(AND($AV13=1,$AW13="AH列に色付け",OR($AG13="",$AH13="")),"未入力",IF(AND($AV13=1,$AW13="",$AG13=""),"未入力","入力済"))</f>
        <v>入力済</v>
      </c>
      <c r="AY13" s="611" t="str">
        <f>IFERROR(VLOOKUP(K13,【参考】数式用!$AR$3:$AS$49, 2, FALSE), "")</f>
        <v/>
      </c>
      <c r="AZ13" s="609" t="str">
        <f t="shared" ref="AZ13:AZ77" si="8">IF(AND(AN13="加算対象",OR(N13="処遇改善加算Ⅰイ",N13="処遇改善加算Ⅰロ")),"AI列に色付け","")</f>
        <v/>
      </c>
      <c r="BA13" s="612" t="str">
        <f>IF(AND(OR(N13="処遇改善加算Ⅰイ",N13="処遇改善加算Ⅰロ"), AI13=""), "未入力","入力済")</f>
        <v>入力済</v>
      </c>
      <c r="BB13" s="611" t="str">
        <f>IFERROR(VLOOKUP(K13,【参考】数式用!$AX$3:$AY$59, 2, FALSE), "")</f>
        <v/>
      </c>
      <c r="BC13" s="609" t="str">
        <f t="shared" ref="BC13:BC76" si="9">IF(OR(COUNTIF(AE13:AH13,"*令和８年度特例要件を*")&gt;0,ISNUMBER(SEARCH("処遇改善加算Ⅰロ",N13)),ISNUMBER(SEARCH("処遇改善加算Ⅱロ",N13)),AN13="加算対象外"),"AJ列に色付け","")</f>
        <v/>
      </c>
      <c r="BD13" s="612" t="str">
        <f>IF(AND(COUNTIF(AE13:AH13,"*令和８年度特例要件を*")&gt;0,AJ13=""), "未入力","入力済")</f>
        <v>入力済</v>
      </c>
      <c r="BE13" s="612" t="str">
        <f t="shared" ref="BE13:BE76" si="10">IF(AH13="その他（小規模事業所等である等）","AJ列色消し",IF(OR(ISNUMBER(SEARCH("処遇改善加算Ⅰロ",N13)),ISNUMBER(SEARCH("処遇改善加算Ⅱロ",N13))),"",IF(AND(BC13="AJ列に色付け",AE13="○",AF13="○",AG13&gt;=1),"AJ列色消し","")))</f>
        <v/>
      </c>
      <c r="BF13" s="612" t="str">
        <f t="shared" ref="BF13:BF76" si="11">IF(AND(N13="処遇改善加算",AE13="○"),"AJ列色消し","")</f>
        <v/>
      </c>
      <c r="BG13" s="612" t="str">
        <f t="shared" ref="BG13:BG76" si="12">IF(OR(TRIM(BC13)="",BE13="AJ列色消し",BF13="AJ列色消し"),"","入力必要")</f>
        <v/>
      </c>
      <c r="BH13" s="612" t="str">
        <f t="shared" ref="BH13:BH76" si="13">IF(AND(BE13="",BG13="入力必要"),IF(AJ13="","未入力","入力済"),"")</f>
        <v/>
      </c>
      <c r="BI13" s="612" t="str">
        <f t="shared" ref="BI13:BI77" si="14">G13</f>
        <v/>
      </c>
      <c r="BJ13" s="175"/>
      <c r="BK13" s="175"/>
      <c r="BL13" s="175"/>
      <c r="BM13" s="175"/>
      <c r="BN13" s="175"/>
      <c r="BO13" s="175"/>
      <c r="BP13" s="175"/>
      <c r="BQ13" s="175"/>
      <c r="BR13" s="175"/>
      <c r="BS13" s="176"/>
      <c r="BT13"/>
    </row>
    <row r="14" spans="1:72" s="181" customFormat="1" ht="109.9" customHeight="1" thickBot="1">
      <c r="A14" s="599">
        <v>3</v>
      </c>
      <c r="B14" s="913" t="str">
        <f>IF(基本情報入力シート!B42="","",基本情報入力シート!B42)</f>
        <v/>
      </c>
      <c r="C14" s="914"/>
      <c r="D14" s="914"/>
      <c r="E14" s="914"/>
      <c r="F14" s="915"/>
      <c r="G14" s="600" t="str">
        <f>IF(基本情報入力シート!L42="", "", 基本情報入力シート!L42)</f>
        <v/>
      </c>
      <c r="H14" s="600" t="str">
        <f>IF(基本情報入力シート!Q42="", "", 基本情報入力シート!Q42)</f>
        <v/>
      </c>
      <c r="I14" s="600" t="str">
        <f>IF(基本情報入力シート!V42="", "", 基本情報入力シート!V42)</f>
        <v/>
      </c>
      <c r="J14" s="600" t="str">
        <f>IF(基本情報入力シート!W42="", "", 基本情報入力シート!W42)</f>
        <v/>
      </c>
      <c r="K14" s="600"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01" t="s">
        <v>170</v>
      </c>
      <c r="Q14" s="225"/>
      <c r="R14" s="602" t="s">
        <v>253</v>
      </c>
      <c r="S14" s="225"/>
      <c r="T14" s="602" t="s">
        <v>254</v>
      </c>
      <c r="U14" s="225"/>
      <c r="V14" s="602" t="s">
        <v>253</v>
      </c>
      <c r="W14" s="225"/>
      <c r="X14" s="602" t="s">
        <v>255</v>
      </c>
      <c r="Y14" s="602" t="s">
        <v>256</v>
      </c>
      <c r="Z14" s="602" t="str">
        <f t="shared" ref="Z14:Z78" si="15">IF(Q14&gt;=1,(U14*12+W14)-(Q14*12+S14)+1,"")</f>
        <v/>
      </c>
      <c r="AA14" s="603" t="s">
        <v>257</v>
      </c>
      <c r="AB14" s="604" t="str">
        <f t="shared" ref="AB14:AB78" si="16">IFERROR(ROUNDDOWN(ROUND(L14*O14,0)*M14,0)*Z14,"")</f>
        <v/>
      </c>
      <c r="AC14" s="605" t="str">
        <f>IFERROR(ROUNDDOWN(ROUNDDOWN(ROUND(L14*VLOOKUP(K14,【参考】数式用!$A$2:$M$57,MATCH("処遇改善加算Ⅳ",【参考】数式用!$G$3:$M$3,0)+6,0),0)*M14,0)*Z14*0.5,0), "")</f>
        <v/>
      </c>
      <c r="AD14" s="245"/>
      <c r="AE14" s="246"/>
      <c r="AF14" s="246"/>
      <c r="AG14" s="247"/>
      <c r="AH14" s="248"/>
      <c r="AI14" s="249"/>
      <c r="AJ14" s="250"/>
      <c r="AK14" s="60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07" t="str">
        <f t="shared" si="0"/>
        <v/>
      </c>
      <c r="AM14" s="608"/>
      <c r="AN14" s="609" t="str">
        <f>IFERROR(VLOOKUP(K14,【参考】数式用!$A$2:$N$57,14,FALSE),"")</f>
        <v/>
      </c>
      <c r="AO14" s="609" t="str">
        <f t="shared" si="1"/>
        <v/>
      </c>
      <c r="AP14" s="610" t="str">
        <f t="shared" ref="AP14:AP77" si="18">IF(AND(AC14&lt;&gt;0,AC14&lt;&gt;"",AN14="加算対象"),IF(AD14="○","入力済","未入力"),"")</f>
        <v/>
      </c>
      <c r="AQ14" s="610" t="str">
        <f t="shared" ref="AQ14:AQ77" si="19">"キャリアパス要件Ⅰ・Ⅱ_"&amp;AN14</f>
        <v>キャリアパス要件Ⅰ・Ⅱ_</v>
      </c>
      <c r="AR14" s="611" t="str">
        <f t="shared" ref="AR14:AR77" si="20">IF(AND(N14&lt;&gt;"", AE14=""), "未入力", "入力済")</f>
        <v>入力済</v>
      </c>
      <c r="AS14" s="609" t="str">
        <f t="shared" si="2"/>
        <v/>
      </c>
      <c r="AT14" s="611" t="str">
        <f t="shared" si="3"/>
        <v>入力済</v>
      </c>
      <c r="AU14" s="611" t="str">
        <f t="shared" si="4"/>
        <v/>
      </c>
      <c r="AV14" s="611" t="str">
        <f t="shared" si="5"/>
        <v/>
      </c>
      <c r="AW14" s="609" t="str">
        <f t="shared" si="6"/>
        <v/>
      </c>
      <c r="AX14" s="609" t="str">
        <f t="shared" si="7"/>
        <v>入力済</v>
      </c>
      <c r="AY14" s="611" t="str">
        <f>IFERROR(VLOOKUP(K14,【参考】数式用!$AR$3:$AS$49, 2, FALSE), "")</f>
        <v/>
      </c>
      <c r="AZ14" s="609" t="str">
        <f t="shared" si="8"/>
        <v/>
      </c>
      <c r="BA14" s="612" t="str">
        <f t="shared" ref="BA14:BA77" si="21">IF(AND(OR(N14="処遇改善加算Ⅰイ",N14="処遇改善加算Ⅰロ"), AI14=""), "未入力","入力済")</f>
        <v>入力済</v>
      </c>
      <c r="BB14" s="611" t="str">
        <f>IFERROR(VLOOKUP(K14,【参考】数式用!$AX$3:$AY$59, 2, FALSE), "")</f>
        <v/>
      </c>
      <c r="BC14" s="609" t="str">
        <f t="shared" si="9"/>
        <v/>
      </c>
      <c r="BD14" s="612" t="str">
        <f t="shared" ref="BD14:BD43" si="22">IF(AND(COUNTIF(AE14:AH14,"*令和８年度特例要件を*")&gt;0,AJ14=""), "未入力","入力済")</f>
        <v>入力済</v>
      </c>
      <c r="BE14" s="612" t="str">
        <f t="shared" si="10"/>
        <v/>
      </c>
      <c r="BF14" s="612" t="str">
        <f t="shared" si="11"/>
        <v/>
      </c>
      <c r="BG14" s="612" t="str">
        <f t="shared" si="12"/>
        <v/>
      </c>
      <c r="BH14" s="612" t="str">
        <f t="shared" si="13"/>
        <v/>
      </c>
      <c r="BI14" s="612" t="str">
        <f t="shared" si="14"/>
        <v/>
      </c>
      <c r="BJ14" s="175"/>
      <c r="BK14" s="175"/>
      <c r="BL14" s="175"/>
      <c r="BM14" s="175"/>
      <c r="BN14" s="175"/>
      <c r="BO14" s="175"/>
      <c r="BP14" s="175"/>
      <c r="BQ14" s="175"/>
      <c r="BR14" s="175"/>
      <c r="BS14" s="176"/>
      <c r="BT14"/>
    </row>
    <row r="15" spans="1:72" s="181" customFormat="1" ht="109.9" customHeight="1" thickBot="1">
      <c r="A15" s="599">
        <v>4</v>
      </c>
      <c r="B15" s="913" t="str">
        <f>IF(基本情報入力シート!B43="","",基本情報入力シート!B43)</f>
        <v/>
      </c>
      <c r="C15" s="914"/>
      <c r="D15" s="914"/>
      <c r="E15" s="914"/>
      <c r="F15" s="915"/>
      <c r="G15" s="600" t="str">
        <f>IF(基本情報入力シート!L43="", "", 基本情報入力シート!L43)</f>
        <v/>
      </c>
      <c r="H15" s="600" t="str">
        <f>IF(基本情報入力シート!Q43="", "", 基本情報入力シート!Q43)</f>
        <v/>
      </c>
      <c r="I15" s="600" t="str">
        <f>IF(基本情報入力シート!V43="", "", 基本情報入力シート!V43)</f>
        <v/>
      </c>
      <c r="J15" s="600" t="str">
        <f>IF(基本情報入力シート!W43="", "", 基本情報入力シート!W43)</f>
        <v/>
      </c>
      <c r="K15" s="600"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01" t="s">
        <v>170</v>
      </c>
      <c r="Q15" s="225"/>
      <c r="R15" s="602" t="s">
        <v>253</v>
      </c>
      <c r="S15" s="225"/>
      <c r="T15" s="602" t="s">
        <v>254</v>
      </c>
      <c r="U15" s="225"/>
      <c r="V15" s="602" t="s">
        <v>253</v>
      </c>
      <c r="W15" s="225"/>
      <c r="X15" s="602" t="s">
        <v>255</v>
      </c>
      <c r="Y15" s="602" t="s">
        <v>256</v>
      </c>
      <c r="Z15" s="602" t="str">
        <f t="shared" ref="Z15" si="23">IF(Q15&gt;=1,(U15*12+W15)-(Q15*12+S15)+1,"")</f>
        <v/>
      </c>
      <c r="AA15" s="603" t="s">
        <v>257</v>
      </c>
      <c r="AB15" s="604" t="str">
        <f t="shared" ref="AB15" si="24">IFERROR(ROUNDDOWN(ROUND(L15*O15,0)*M15,0)*Z15,"")</f>
        <v/>
      </c>
      <c r="AC15" s="605" t="str">
        <f>IFERROR(ROUNDDOWN(ROUNDDOWN(ROUND(L15*VLOOKUP(K15,【参考】数式用!$A$2:$M$57,MATCH("処遇改善加算Ⅳ",【参考】数式用!$G$3:$M$3,0)+6,0),0)*M15,0)*Z15*0.5,0), "")</f>
        <v/>
      </c>
      <c r="AD15" s="245"/>
      <c r="AE15" s="246"/>
      <c r="AF15" s="246"/>
      <c r="AG15" s="247"/>
      <c r="AH15" s="248"/>
      <c r="AI15" s="249"/>
      <c r="AJ15" s="250"/>
      <c r="AK15" s="60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07" t="str">
        <f t="shared" si="0"/>
        <v/>
      </c>
      <c r="AM15" s="608"/>
      <c r="AN15" s="609" t="str">
        <f>IFERROR(VLOOKUP(K15,【参考】数式用!$A$2:$N$57,14,FALSE),"")</f>
        <v/>
      </c>
      <c r="AO15" s="609" t="str">
        <f t="shared" ref="AO15" si="26">IF(AND(K15&lt;&gt;""),"N列に色付け","")</f>
        <v/>
      </c>
      <c r="AP15" s="610" t="str">
        <f t="shared" ref="AP15" si="27">IF(AND(AC15&lt;&gt;0,AC15&lt;&gt;"",AN15="加算対象"),IF(AD15="○","入力済","未入力"),"")</f>
        <v/>
      </c>
      <c r="AQ15" s="610" t="str">
        <f t="shared" ref="AQ15" si="28">"キャリアパス要件Ⅰ・Ⅱ_"&amp;AN15</f>
        <v>キャリアパス要件Ⅰ・Ⅱ_</v>
      </c>
      <c r="AR15" s="611" t="str">
        <f t="shared" ref="AR15" si="29">IF(AND(N15&lt;&gt;"", AE15=""), "未入力", "入力済")</f>
        <v>入力済</v>
      </c>
      <c r="AS15" s="609" t="str">
        <f t="shared" ref="AS15" si="30">IF(AND(N15&lt;&gt;"", N15&lt;&gt;"処遇改善加算Ⅳ",AN15="加算対象"),"AF列に色付け","")</f>
        <v/>
      </c>
      <c r="AT15" s="611" t="str">
        <f t="shared" ref="AT15" si="31">IF(AND(N15&lt;&gt;"", N15&lt;&gt;"処遇改善加算Ⅳ",N15&lt;&gt;"処遇改善加算", AF15=""), "未入力", "入力済")</f>
        <v>入力済</v>
      </c>
      <c r="AU15" s="611" t="str">
        <f t="shared" ref="AU15" si="32">IF(OR(ISNUMBER(SEARCH("処遇改善加算Ⅰ",N15)),ISNUMBER(SEARCH("処遇改善加算Ⅱ",N15))),"対象","")</f>
        <v/>
      </c>
      <c r="AV15" s="611" t="str">
        <f t="shared" ref="AV15" si="33">IF(AND(AN15="加算対象",N15&lt;&gt;"処遇改善加算Ⅲ",N15&lt;&gt;"処遇改善加算Ⅳ", N15&lt;&gt;"", AU15&lt;&gt;"対象外"), 1,"")</f>
        <v/>
      </c>
      <c r="AW15" s="609" t="str">
        <f t="shared" ref="AW15" si="34">IF(AND(AV15=1, OR(AG15=0,AG15=""),AN15="加算対象"),"AH列に色付け","")</f>
        <v/>
      </c>
      <c r="AX15" s="609" t="str">
        <f t="shared" si="7"/>
        <v>入力済</v>
      </c>
      <c r="AY15" s="611" t="str">
        <f>IFERROR(VLOOKUP(K15,【参考】数式用!$AR$3:$AS$49, 2, FALSE), "")</f>
        <v/>
      </c>
      <c r="AZ15" s="609" t="str">
        <f t="shared" ref="AZ15" si="35">IF(AND(AN15="加算対象",OR(N15="処遇改善加算Ⅰイ",N15="処遇改善加算Ⅰロ")),"AI列に色付け","")</f>
        <v/>
      </c>
      <c r="BA15" s="612" t="str">
        <f t="shared" ref="BA15" si="36">IF(AND(OR(N15="処遇改善加算Ⅰイ",N15="処遇改善加算Ⅰロ"), AI15=""), "未入力","入力済")</f>
        <v>入力済</v>
      </c>
      <c r="BB15" s="611" t="str">
        <f>IFERROR(VLOOKUP(K15,【参考】数式用!$AX$3:$AY$59, 2, FALSE), "")</f>
        <v/>
      </c>
      <c r="BC15" s="609" t="str">
        <f t="shared" si="9"/>
        <v/>
      </c>
      <c r="BD15" s="612" t="str">
        <f t="shared" si="22"/>
        <v>入力済</v>
      </c>
      <c r="BE15" s="612" t="str">
        <f t="shared" si="10"/>
        <v/>
      </c>
      <c r="BF15" s="612" t="str">
        <f t="shared" si="11"/>
        <v/>
      </c>
      <c r="BG15" s="612" t="str">
        <f t="shared" si="12"/>
        <v/>
      </c>
      <c r="BH15" s="612" t="str">
        <f t="shared" si="13"/>
        <v/>
      </c>
      <c r="BI15" s="612" t="str">
        <f t="shared" ref="BI15" si="37">G15</f>
        <v/>
      </c>
      <c r="BJ15" s="175"/>
      <c r="BK15" s="175"/>
      <c r="BL15" s="175"/>
      <c r="BM15" s="175"/>
      <c r="BN15" s="175"/>
      <c r="BO15" s="175"/>
      <c r="BP15" s="175"/>
      <c r="BQ15" s="175"/>
      <c r="BR15" s="175"/>
      <c r="BS15" s="176"/>
      <c r="BT15"/>
    </row>
    <row r="16" spans="1:72" s="181" customFormat="1" ht="109.9" customHeight="1" thickBot="1">
      <c r="A16" s="599">
        <v>5</v>
      </c>
      <c r="B16" s="913" t="str">
        <f>IF(基本情報入力シート!B44="","",基本情報入力シート!B44)</f>
        <v/>
      </c>
      <c r="C16" s="914"/>
      <c r="D16" s="914"/>
      <c r="E16" s="914"/>
      <c r="F16" s="915"/>
      <c r="G16" s="600" t="str">
        <f>IF(基本情報入力シート!L44="", "", 基本情報入力シート!L44)</f>
        <v/>
      </c>
      <c r="H16" s="600" t="str">
        <f>IF(基本情報入力シート!Q44="", "", 基本情報入力シート!Q44)</f>
        <v/>
      </c>
      <c r="I16" s="600" t="str">
        <f>IF(基本情報入力シート!V44="", "", 基本情報入力シート!V44)</f>
        <v/>
      </c>
      <c r="J16" s="600" t="str">
        <f>IF(基本情報入力シート!W44="", "", 基本情報入力シート!W44)</f>
        <v/>
      </c>
      <c r="K16" s="600"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01" t="s">
        <v>170</v>
      </c>
      <c r="Q16" s="225"/>
      <c r="R16" s="602" t="s">
        <v>253</v>
      </c>
      <c r="S16" s="225"/>
      <c r="T16" s="602" t="s">
        <v>254</v>
      </c>
      <c r="U16" s="225"/>
      <c r="V16" s="602" t="s">
        <v>253</v>
      </c>
      <c r="W16" s="225"/>
      <c r="X16" s="602" t="s">
        <v>172</v>
      </c>
      <c r="Y16" s="602" t="s">
        <v>256</v>
      </c>
      <c r="Z16" s="602" t="str">
        <f t="shared" si="15"/>
        <v/>
      </c>
      <c r="AA16" s="603" t="s">
        <v>257</v>
      </c>
      <c r="AB16" s="604" t="str">
        <f t="shared" si="16"/>
        <v/>
      </c>
      <c r="AC16" s="605" t="str">
        <f>IFERROR(ROUNDDOWN(ROUNDDOWN(ROUND(L16*VLOOKUP(K16,【参考】数式用!$A$2:$M$57,MATCH("処遇改善加算Ⅳ",【参考】数式用!$G$3:$M$3,0)+6,0),0)*M16,0)*Z16*0.5,0), "")</f>
        <v/>
      </c>
      <c r="AD16" s="245"/>
      <c r="AE16" s="246"/>
      <c r="AF16" s="246"/>
      <c r="AG16" s="247"/>
      <c r="AH16" s="248"/>
      <c r="AI16" s="249"/>
      <c r="AJ16" s="250"/>
      <c r="AK16" s="606" t="str">
        <f t="shared" si="17"/>
        <v/>
      </c>
      <c r="AL16" s="607" t="str">
        <f t="shared" si="0"/>
        <v/>
      </c>
      <c r="AM16" s="608"/>
      <c r="AN16" s="609" t="str">
        <f>IFERROR(VLOOKUP(K16,【参考】数式用!$A$2:$N$57,14,FALSE),"")</f>
        <v/>
      </c>
      <c r="AO16" s="609" t="str">
        <f t="shared" si="1"/>
        <v/>
      </c>
      <c r="AP16" s="610" t="str">
        <f t="shared" si="18"/>
        <v/>
      </c>
      <c r="AQ16" s="610" t="str">
        <f t="shared" si="19"/>
        <v>キャリアパス要件Ⅰ・Ⅱ_</v>
      </c>
      <c r="AR16" s="611" t="str">
        <f t="shared" si="20"/>
        <v>入力済</v>
      </c>
      <c r="AS16" s="609" t="str">
        <f t="shared" si="2"/>
        <v/>
      </c>
      <c r="AT16" s="611" t="str">
        <f t="shared" si="3"/>
        <v>入力済</v>
      </c>
      <c r="AU16" s="611" t="str">
        <f t="shared" si="4"/>
        <v/>
      </c>
      <c r="AV16" s="611" t="str">
        <f t="shared" si="5"/>
        <v/>
      </c>
      <c r="AW16" s="609" t="str">
        <f t="shared" si="6"/>
        <v/>
      </c>
      <c r="AX16" s="609" t="str">
        <f t="shared" si="7"/>
        <v>入力済</v>
      </c>
      <c r="AY16" s="611" t="str">
        <f>IFERROR(VLOOKUP(K16,【参考】数式用!$AR$3:$AS$49, 2, FALSE), "")</f>
        <v/>
      </c>
      <c r="AZ16" s="609" t="str">
        <f t="shared" si="8"/>
        <v/>
      </c>
      <c r="BA16" s="612" t="str">
        <f t="shared" si="21"/>
        <v>入力済</v>
      </c>
      <c r="BB16" s="611" t="str">
        <f>IFERROR(VLOOKUP(K16,【参考】数式用!$AX$3:$AY$59, 2, FALSE), "")</f>
        <v/>
      </c>
      <c r="BC16" s="609" t="str">
        <f t="shared" si="9"/>
        <v/>
      </c>
      <c r="BD16" s="612" t="str">
        <f t="shared" si="22"/>
        <v>入力済</v>
      </c>
      <c r="BE16" s="612" t="str">
        <f t="shared" si="10"/>
        <v/>
      </c>
      <c r="BF16" s="612" t="str">
        <f t="shared" si="11"/>
        <v/>
      </c>
      <c r="BG16" s="612" t="str">
        <f t="shared" si="12"/>
        <v/>
      </c>
      <c r="BH16" s="612" t="str">
        <f t="shared" si="13"/>
        <v/>
      </c>
      <c r="BI16" s="612" t="str">
        <f t="shared" si="14"/>
        <v/>
      </c>
      <c r="BJ16" s="175"/>
      <c r="BK16" s="175"/>
      <c r="BL16" s="175"/>
      <c r="BM16" s="175"/>
      <c r="BN16" s="175"/>
      <c r="BO16" s="175"/>
      <c r="BP16" s="175"/>
      <c r="BQ16" s="175"/>
      <c r="BR16" s="175"/>
      <c r="BS16" s="176"/>
      <c r="BT16"/>
    </row>
    <row r="17" spans="1:68" s="181" customFormat="1" ht="109.9" customHeight="1" thickBot="1">
      <c r="A17" s="599">
        <v>6</v>
      </c>
      <c r="B17" s="913" t="str">
        <f>IF(基本情報入力シート!B45="","",基本情報入力シート!B45)</f>
        <v/>
      </c>
      <c r="C17" s="914"/>
      <c r="D17" s="914"/>
      <c r="E17" s="914"/>
      <c r="F17" s="915"/>
      <c r="G17" s="600" t="str">
        <f>IF(基本情報入力シート!L45="", "", 基本情報入力シート!L45)</f>
        <v/>
      </c>
      <c r="H17" s="600" t="str">
        <f>IF(基本情報入力シート!Q45="", "", 基本情報入力シート!Q45)</f>
        <v/>
      </c>
      <c r="I17" s="600" t="str">
        <f>IF(基本情報入力シート!V45="", "", 基本情報入力シート!V45)</f>
        <v/>
      </c>
      <c r="J17" s="600" t="str">
        <f>IF(基本情報入力シート!W45="", "", 基本情報入力シート!W45)</f>
        <v/>
      </c>
      <c r="K17" s="600"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01" t="s">
        <v>170</v>
      </c>
      <c r="Q17" s="225"/>
      <c r="R17" s="602" t="s">
        <v>253</v>
      </c>
      <c r="S17" s="225"/>
      <c r="T17" s="602" t="s">
        <v>254</v>
      </c>
      <c r="U17" s="225"/>
      <c r="V17" s="602" t="s">
        <v>253</v>
      </c>
      <c r="W17" s="225"/>
      <c r="X17" s="602" t="s">
        <v>172</v>
      </c>
      <c r="Y17" s="602" t="s">
        <v>256</v>
      </c>
      <c r="Z17" s="602" t="str">
        <f t="shared" si="15"/>
        <v/>
      </c>
      <c r="AA17" s="603" t="s">
        <v>257</v>
      </c>
      <c r="AB17" s="604" t="str">
        <f t="shared" si="16"/>
        <v/>
      </c>
      <c r="AC17" s="605" t="str">
        <f>IFERROR(ROUNDDOWN(ROUNDDOWN(ROUND(L17*VLOOKUP(K17,【参考】数式用!$A$2:$M$57,MATCH("処遇改善加算Ⅳ",【参考】数式用!$G$3:$M$3,0)+6,0),0)*M17,0)*Z17*0.5,0), "")</f>
        <v/>
      </c>
      <c r="AD17" s="245"/>
      <c r="AE17" s="246"/>
      <c r="AF17" s="246"/>
      <c r="AG17" s="247"/>
      <c r="AH17" s="248"/>
      <c r="AI17" s="249"/>
      <c r="AJ17" s="250"/>
      <c r="AK17" s="60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07" t="str">
        <f t="shared" si="0"/>
        <v/>
      </c>
      <c r="AM17" s="608"/>
      <c r="AN17" s="609" t="str">
        <f>IFERROR(VLOOKUP(K17,【参考】数式用!$A$2:$N$57,14,FALSE),"")</f>
        <v/>
      </c>
      <c r="AO17" s="609" t="str">
        <f t="shared" si="1"/>
        <v/>
      </c>
      <c r="AP17" s="610" t="str">
        <f t="shared" si="18"/>
        <v/>
      </c>
      <c r="AQ17" s="610" t="str">
        <f t="shared" si="19"/>
        <v>キャリアパス要件Ⅰ・Ⅱ_</v>
      </c>
      <c r="AR17" s="611" t="str">
        <f>IF(AND(N17&lt;&gt;"", AE17=""), "未入力", "入力済")</f>
        <v>入力済</v>
      </c>
      <c r="AS17" s="609" t="str">
        <f t="shared" si="2"/>
        <v/>
      </c>
      <c r="AT17" s="611" t="str">
        <f>IF(AND(N17&lt;&gt;"", N17&lt;&gt;"処遇改善加算Ⅳ",N17&lt;&gt;"処遇改善加算", AF17=""), "未入力", "入力済")</f>
        <v>入力済</v>
      </c>
      <c r="AU17" s="611" t="str">
        <f t="shared" si="4"/>
        <v/>
      </c>
      <c r="AV17" s="611" t="str">
        <f t="shared" si="5"/>
        <v/>
      </c>
      <c r="AW17" s="609" t="str">
        <f t="shared" si="6"/>
        <v/>
      </c>
      <c r="AX17" s="609" t="str">
        <f t="shared" si="7"/>
        <v>入力済</v>
      </c>
      <c r="AY17" s="611" t="str">
        <f>IFERROR(VLOOKUP(K17,【参考】数式用!$AR$3:$AS$49, 2, FALSE), "")</f>
        <v/>
      </c>
      <c r="AZ17" s="609" t="str">
        <f t="shared" si="8"/>
        <v/>
      </c>
      <c r="BA17" s="612" t="str">
        <f t="shared" si="21"/>
        <v>入力済</v>
      </c>
      <c r="BB17" s="611" t="str">
        <f>IFERROR(VLOOKUP(K17,【参考】数式用!$AX$3:$AY$59, 2, FALSE), "")</f>
        <v/>
      </c>
      <c r="BC17" s="609" t="str">
        <f t="shared" si="9"/>
        <v/>
      </c>
      <c r="BD17" s="612" t="str">
        <f>IF(AND(COUNTIF(AE17:AH17,"*令和８年度特例要件を*")&gt;0,AJ17=""), "未入力","入力済")</f>
        <v>入力済</v>
      </c>
      <c r="BE17" s="612" t="str">
        <f t="shared" si="10"/>
        <v/>
      </c>
      <c r="BF17" s="612" t="str">
        <f t="shared" si="11"/>
        <v/>
      </c>
      <c r="BG17" s="612" t="str">
        <f t="shared" si="12"/>
        <v/>
      </c>
      <c r="BH17" s="612" t="str">
        <f t="shared" si="13"/>
        <v/>
      </c>
      <c r="BI17" s="612" t="str">
        <f t="shared" si="14"/>
        <v/>
      </c>
      <c r="BJ17" s="51"/>
      <c r="BK17" s="51"/>
      <c r="BL17" s="51"/>
      <c r="BM17" s="51"/>
      <c r="BN17" s="51"/>
      <c r="BO17" s="51"/>
      <c r="BP17" s="51"/>
    </row>
    <row r="18" spans="1:68" s="181" customFormat="1" ht="109.9" customHeight="1" thickBot="1">
      <c r="A18" s="599">
        <v>7</v>
      </c>
      <c r="B18" s="913" t="str">
        <f>IF(基本情報入力シート!B46="","",基本情報入力シート!B46)</f>
        <v/>
      </c>
      <c r="C18" s="914"/>
      <c r="D18" s="914"/>
      <c r="E18" s="914"/>
      <c r="F18" s="915"/>
      <c r="G18" s="600" t="str">
        <f>IF(基本情報入力シート!L46="", "", 基本情報入力シート!L46)</f>
        <v/>
      </c>
      <c r="H18" s="600" t="str">
        <f>IF(基本情報入力シート!Q46="", "", 基本情報入力シート!Q46)</f>
        <v/>
      </c>
      <c r="I18" s="600" t="str">
        <f>IF(基本情報入力シート!V46="", "", 基本情報入力シート!V46)</f>
        <v/>
      </c>
      <c r="J18" s="600" t="str">
        <f>IF(基本情報入力シート!W46="", "", 基本情報入力シート!W46)</f>
        <v/>
      </c>
      <c r="K18" s="600"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01" t="s">
        <v>170</v>
      </c>
      <c r="Q18" s="225"/>
      <c r="R18" s="602" t="s">
        <v>253</v>
      </c>
      <c r="S18" s="225"/>
      <c r="T18" s="602" t="s">
        <v>254</v>
      </c>
      <c r="U18" s="225"/>
      <c r="V18" s="602" t="s">
        <v>253</v>
      </c>
      <c r="W18" s="225"/>
      <c r="X18" s="602" t="s">
        <v>255</v>
      </c>
      <c r="Y18" s="602" t="s">
        <v>256</v>
      </c>
      <c r="Z18" s="602" t="str">
        <f t="shared" si="15"/>
        <v/>
      </c>
      <c r="AA18" s="603" t="s">
        <v>257</v>
      </c>
      <c r="AB18" s="604" t="str">
        <f t="shared" si="16"/>
        <v/>
      </c>
      <c r="AC18" s="605" t="str">
        <f>IFERROR(ROUNDDOWN(ROUNDDOWN(ROUND(L18*VLOOKUP(K18,【参考】数式用!$A$2:$M$57,MATCH("処遇改善加算Ⅳ",【参考】数式用!$G$3:$M$3,0)+6,0),0)*M18,0)*Z18*0.5,0), "")</f>
        <v/>
      </c>
      <c r="AD18" s="245"/>
      <c r="AE18" s="246"/>
      <c r="AF18" s="246"/>
      <c r="AG18" s="247"/>
      <c r="AH18" s="248"/>
      <c r="AI18" s="249"/>
      <c r="AJ18" s="250"/>
      <c r="AK18" s="606" t="str">
        <f t="shared" si="17"/>
        <v/>
      </c>
      <c r="AL18" s="607" t="str">
        <f t="shared" si="0"/>
        <v/>
      </c>
      <c r="AM18" s="608"/>
      <c r="AN18" s="609" t="str">
        <f>IFERROR(VLOOKUP(K18,【参考】数式用!$A$2:$N$57,14,FALSE),"")</f>
        <v/>
      </c>
      <c r="AO18" s="609" t="str">
        <f t="shared" si="1"/>
        <v/>
      </c>
      <c r="AP18" s="610" t="str">
        <f t="shared" si="18"/>
        <v/>
      </c>
      <c r="AQ18" s="610" t="str">
        <f t="shared" si="19"/>
        <v>キャリアパス要件Ⅰ・Ⅱ_</v>
      </c>
      <c r="AR18" s="611" t="str">
        <f t="shared" si="20"/>
        <v>入力済</v>
      </c>
      <c r="AS18" s="609" t="str">
        <f t="shared" si="2"/>
        <v/>
      </c>
      <c r="AT18" s="611" t="str">
        <f t="shared" si="3"/>
        <v>入力済</v>
      </c>
      <c r="AU18" s="611" t="str">
        <f t="shared" si="4"/>
        <v/>
      </c>
      <c r="AV18" s="611" t="str">
        <f t="shared" si="5"/>
        <v/>
      </c>
      <c r="AW18" s="609" t="str">
        <f t="shared" si="6"/>
        <v/>
      </c>
      <c r="AX18" s="609" t="str">
        <f t="shared" si="7"/>
        <v>入力済</v>
      </c>
      <c r="AY18" s="611" t="str">
        <f>IFERROR(VLOOKUP(K18,【参考】数式用!$AR$3:$AS$49, 2, FALSE), "")</f>
        <v/>
      </c>
      <c r="AZ18" s="609" t="str">
        <f t="shared" si="8"/>
        <v/>
      </c>
      <c r="BA18" s="612" t="str">
        <f t="shared" si="21"/>
        <v>入力済</v>
      </c>
      <c r="BB18" s="611" t="str">
        <f>IFERROR(VLOOKUP(K18,【参考】数式用!$AX$3:$AY$59, 2, FALSE), "")</f>
        <v/>
      </c>
      <c r="BC18" s="609" t="str">
        <f t="shared" si="9"/>
        <v/>
      </c>
      <c r="BD18" s="612" t="str">
        <f t="shared" si="22"/>
        <v>入力済</v>
      </c>
      <c r="BE18" s="612" t="str">
        <f t="shared" si="10"/>
        <v/>
      </c>
      <c r="BF18" s="612" t="str">
        <f t="shared" si="11"/>
        <v/>
      </c>
      <c r="BG18" s="612" t="str">
        <f t="shared" si="12"/>
        <v/>
      </c>
      <c r="BH18" s="612" t="str">
        <f t="shared" si="13"/>
        <v/>
      </c>
      <c r="BI18" s="612" t="str">
        <f t="shared" si="14"/>
        <v/>
      </c>
      <c r="BJ18" s="51"/>
      <c r="BK18" s="51"/>
      <c r="BL18" s="51"/>
      <c r="BM18" s="51"/>
      <c r="BN18" s="51"/>
      <c r="BO18" s="51"/>
      <c r="BP18" s="51"/>
    </row>
    <row r="19" spans="1:68" s="181" customFormat="1" ht="109.9" customHeight="1" thickBot="1">
      <c r="A19" s="599">
        <v>8</v>
      </c>
      <c r="B19" s="960" t="str">
        <f>IF(基本情報入力シート!B47="","",基本情報入力シート!B47)</f>
        <v/>
      </c>
      <c r="C19" s="961"/>
      <c r="D19" s="961"/>
      <c r="E19" s="961"/>
      <c r="F19" s="962"/>
      <c r="G19" s="600" t="str">
        <f>IF(基本情報入力シート!L47="", "", 基本情報入力シート!L47)</f>
        <v/>
      </c>
      <c r="H19" s="600" t="str">
        <f>IF(基本情報入力シート!Q47="", "", 基本情報入力シート!Q47)</f>
        <v/>
      </c>
      <c r="I19" s="600" t="str">
        <f>IF(基本情報入力シート!V47="", "", 基本情報入力シート!V47)</f>
        <v/>
      </c>
      <c r="J19" s="600" t="str">
        <f>IF(基本情報入力シート!W47="", "", 基本情報入力シート!W47)</f>
        <v/>
      </c>
      <c r="K19" s="600"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01" t="s">
        <v>170</v>
      </c>
      <c r="Q19" s="225"/>
      <c r="R19" s="602" t="s">
        <v>253</v>
      </c>
      <c r="S19" s="225"/>
      <c r="T19" s="602" t="s">
        <v>254</v>
      </c>
      <c r="U19" s="225"/>
      <c r="V19" s="602" t="s">
        <v>253</v>
      </c>
      <c r="W19" s="225"/>
      <c r="X19" s="602" t="s">
        <v>255</v>
      </c>
      <c r="Y19" s="602" t="s">
        <v>256</v>
      </c>
      <c r="Z19" s="602" t="str">
        <f t="shared" si="15"/>
        <v/>
      </c>
      <c r="AA19" s="603" t="s">
        <v>257</v>
      </c>
      <c r="AB19" s="604" t="str">
        <f t="shared" si="16"/>
        <v/>
      </c>
      <c r="AC19" s="605" t="str">
        <f>IFERROR(ROUNDDOWN(ROUNDDOWN(ROUND(L19*VLOOKUP(K19,【参考】数式用!$A$2:$M$57,MATCH("処遇改善加算Ⅳ",【参考】数式用!$G$3:$M$3,0)+6,0),0)*M19,0)*Z19*0.5,0), "")</f>
        <v/>
      </c>
      <c r="AD19" s="245"/>
      <c r="AE19" s="246"/>
      <c r="AF19" s="246"/>
      <c r="AG19" s="247"/>
      <c r="AH19" s="248"/>
      <c r="AI19" s="249"/>
      <c r="AJ19" s="250"/>
      <c r="AK19" s="606" t="str">
        <f t="shared" si="17"/>
        <v/>
      </c>
      <c r="AL19" s="607" t="str">
        <f t="shared" si="0"/>
        <v/>
      </c>
      <c r="AM19" s="608"/>
      <c r="AN19" s="609" t="str">
        <f>IFERROR(VLOOKUP(K19,【参考】数式用!$A$2:$N$57,14,FALSE),"")</f>
        <v/>
      </c>
      <c r="AO19" s="609" t="str">
        <f t="shared" si="1"/>
        <v/>
      </c>
      <c r="AP19" s="610" t="str">
        <f t="shared" si="18"/>
        <v/>
      </c>
      <c r="AQ19" s="610" t="str">
        <f t="shared" si="19"/>
        <v>キャリアパス要件Ⅰ・Ⅱ_</v>
      </c>
      <c r="AR19" s="611" t="str">
        <f t="shared" si="20"/>
        <v>入力済</v>
      </c>
      <c r="AS19" s="609" t="str">
        <f t="shared" si="2"/>
        <v/>
      </c>
      <c r="AT19" s="611" t="str">
        <f t="shared" si="3"/>
        <v>入力済</v>
      </c>
      <c r="AU19" s="611" t="str">
        <f t="shared" si="4"/>
        <v/>
      </c>
      <c r="AV19" s="611" t="str">
        <f t="shared" si="5"/>
        <v/>
      </c>
      <c r="AW19" s="609" t="str">
        <f t="shared" si="6"/>
        <v/>
      </c>
      <c r="AX19" s="609" t="str">
        <f t="shared" si="7"/>
        <v>入力済</v>
      </c>
      <c r="AY19" s="611" t="str">
        <f>IFERROR(VLOOKUP(K19,【参考】数式用!$AR$3:$AS$49, 2, FALSE), "")</f>
        <v/>
      </c>
      <c r="AZ19" s="609" t="str">
        <f t="shared" si="8"/>
        <v/>
      </c>
      <c r="BA19" s="612" t="str">
        <f t="shared" si="21"/>
        <v>入力済</v>
      </c>
      <c r="BB19" s="611" t="str">
        <f>IFERROR(VLOOKUP(K19,【参考】数式用!$AX$3:$AY$59, 2, FALSE), "")</f>
        <v/>
      </c>
      <c r="BC19" s="609" t="str">
        <f t="shared" si="9"/>
        <v/>
      </c>
      <c r="BD19" s="612" t="str">
        <f t="shared" si="22"/>
        <v>入力済</v>
      </c>
      <c r="BE19" s="612" t="str">
        <f t="shared" si="10"/>
        <v/>
      </c>
      <c r="BF19" s="612" t="str">
        <f t="shared" si="11"/>
        <v/>
      </c>
      <c r="BG19" s="612" t="str">
        <f t="shared" si="12"/>
        <v/>
      </c>
      <c r="BH19" s="612" t="str">
        <f t="shared" si="13"/>
        <v/>
      </c>
      <c r="BI19" s="612" t="str">
        <f t="shared" si="14"/>
        <v/>
      </c>
      <c r="BJ19" s="51"/>
      <c r="BK19" s="51"/>
      <c r="BL19" s="51"/>
      <c r="BM19" s="51"/>
      <c r="BN19" s="51"/>
      <c r="BO19" s="51"/>
      <c r="BP19" s="51"/>
    </row>
    <row r="20" spans="1:68" s="181" customFormat="1" ht="109.9" customHeight="1" thickBot="1">
      <c r="A20" s="599">
        <v>9</v>
      </c>
      <c r="B20" s="913" t="str">
        <f>IF(基本情報入力シート!B48="","",基本情報入力シート!B48)</f>
        <v/>
      </c>
      <c r="C20" s="914"/>
      <c r="D20" s="914"/>
      <c r="E20" s="914"/>
      <c r="F20" s="915"/>
      <c r="G20" s="600" t="str">
        <f>IF(基本情報入力シート!L48="", "", 基本情報入力シート!L48)</f>
        <v/>
      </c>
      <c r="H20" s="600" t="str">
        <f>IF(基本情報入力シート!Q48="", "", 基本情報入力シート!Q48)</f>
        <v/>
      </c>
      <c r="I20" s="600" t="str">
        <f>IF(基本情報入力シート!V48="", "", 基本情報入力シート!V48)</f>
        <v/>
      </c>
      <c r="J20" s="600" t="str">
        <f>IF(基本情報入力シート!W48="", "", 基本情報入力シート!W48)</f>
        <v/>
      </c>
      <c r="K20" s="600"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01" t="s">
        <v>170</v>
      </c>
      <c r="Q20" s="225"/>
      <c r="R20" s="602" t="s">
        <v>253</v>
      </c>
      <c r="S20" s="225"/>
      <c r="T20" s="602" t="s">
        <v>254</v>
      </c>
      <c r="U20" s="225"/>
      <c r="V20" s="602" t="s">
        <v>253</v>
      </c>
      <c r="W20" s="225"/>
      <c r="X20" s="602" t="s">
        <v>255</v>
      </c>
      <c r="Y20" s="602" t="s">
        <v>256</v>
      </c>
      <c r="Z20" s="602" t="str">
        <f t="shared" si="15"/>
        <v/>
      </c>
      <c r="AA20" s="603" t="s">
        <v>257</v>
      </c>
      <c r="AB20" s="604" t="str">
        <f t="shared" si="16"/>
        <v/>
      </c>
      <c r="AC20" s="605" t="str">
        <f>IFERROR(ROUNDDOWN(ROUNDDOWN(ROUND(L20*VLOOKUP(K20,【参考】数式用!$A$2:$M$57,MATCH("処遇改善加算Ⅳ",【参考】数式用!$G$3:$M$3,0)+6,0),0)*M20,0)*Z20*0.5,0), "")</f>
        <v/>
      </c>
      <c r="AD20" s="245"/>
      <c r="AE20" s="246"/>
      <c r="AF20" s="246"/>
      <c r="AG20" s="247"/>
      <c r="AH20" s="248"/>
      <c r="AI20" s="249"/>
      <c r="AJ20" s="250"/>
      <c r="AK20" s="606" t="str">
        <f t="shared" si="17"/>
        <v/>
      </c>
      <c r="AL20" s="607" t="str">
        <f t="shared" si="0"/>
        <v/>
      </c>
      <c r="AM20" s="608"/>
      <c r="AN20" s="609" t="str">
        <f>IFERROR(VLOOKUP(K20,【参考】数式用!$A$2:$N$57,14,FALSE),"")</f>
        <v/>
      </c>
      <c r="AO20" s="609" t="str">
        <f t="shared" si="1"/>
        <v/>
      </c>
      <c r="AP20" s="610" t="str">
        <f t="shared" si="18"/>
        <v/>
      </c>
      <c r="AQ20" s="610" t="str">
        <f t="shared" si="19"/>
        <v>キャリアパス要件Ⅰ・Ⅱ_</v>
      </c>
      <c r="AR20" s="611" t="str">
        <f t="shared" si="20"/>
        <v>入力済</v>
      </c>
      <c r="AS20" s="609" t="str">
        <f t="shared" si="2"/>
        <v/>
      </c>
      <c r="AT20" s="611" t="str">
        <f t="shared" si="3"/>
        <v>入力済</v>
      </c>
      <c r="AU20" s="611" t="str">
        <f t="shared" si="4"/>
        <v/>
      </c>
      <c r="AV20" s="611" t="str">
        <f t="shared" si="5"/>
        <v/>
      </c>
      <c r="AW20" s="609" t="str">
        <f t="shared" si="6"/>
        <v/>
      </c>
      <c r="AX20" s="609" t="str">
        <f t="shared" si="7"/>
        <v>入力済</v>
      </c>
      <c r="AY20" s="611" t="str">
        <f>IFERROR(VLOOKUP(K20,【参考】数式用!$AR$3:$AS$49, 2, FALSE), "")</f>
        <v/>
      </c>
      <c r="AZ20" s="609" t="str">
        <f t="shared" si="8"/>
        <v/>
      </c>
      <c r="BA20" s="612" t="str">
        <f t="shared" si="21"/>
        <v>入力済</v>
      </c>
      <c r="BB20" s="611" t="str">
        <f>IFERROR(VLOOKUP(K20,【参考】数式用!$AX$3:$AY$59, 2, FALSE), "")</f>
        <v/>
      </c>
      <c r="BC20" s="609" t="str">
        <f t="shared" si="9"/>
        <v/>
      </c>
      <c r="BD20" s="612" t="str">
        <f t="shared" si="22"/>
        <v>入力済</v>
      </c>
      <c r="BE20" s="612" t="str">
        <f t="shared" si="10"/>
        <v/>
      </c>
      <c r="BF20" s="612" t="str">
        <f t="shared" si="11"/>
        <v/>
      </c>
      <c r="BG20" s="612" t="str">
        <f t="shared" si="12"/>
        <v/>
      </c>
      <c r="BH20" s="612" t="str">
        <f t="shared" si="13"/>
        <v/>
      </c>
      <c r="BI20" s="612" t="str">
        <f t="shared" si="14"/>
        <v/>
      </c>
      <c r="BJ20" s="51"/>
      <c r="BK20" s="51"/>
      <c r="BL20" s="51"/>
      <c r="BM20" s="51"/>
      <c r="BN20" s="51"/>
      <c r="BO20" s="51"/>
      <c r="BP20" s="51"/>
    </row>
    <row r="21" spans="1:68" s="181" customFormat="1" ht="109.9" customHeight="1" thickBot="1">
      <c r="A21" s="599">
        <v>10</v>
      </c>
      <c r="B21" s="913" t="str">
        <f>IF(基本情報入力シート!B49="","",基本情報入力シート!B49)</f>
        <v/>
      </c>
      <c r="C21" s="914"/>
      <c r="D21" s="914"/>
      <c r="E21" s="914"/>
      <c r="F21" s="915"/>
      <c r="G21" s="600" t="str">
        <f>IF(基本情報入力シート!L49="", "", 基本情報入力シート!L49)</f>
        <v/>
      </c>
      <c r="H21" s="600" t="str">
        <f>IF(基本情報入力シート!Q49="", "", 基本情報入力シート!Q49)</f>
        <v/>
      </c>
      <c r="I21" s="600" t="str">
        <f>IF(基本情報入力シート!V49="", "", 基本情報入力シート!V49)</f>
        <v/>
      </c>
      <c r="J21" s="600" t="str">
        <f>IF(基本情報入力シート!W49="", "", 基本情報入力シート!W49)</f>
        <v/>
      </c>
      <c r="K21" s="600"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01" t="s">
        <v>170</v>
      </c>
      <c r="Q21" s="225"/>
      <c r="R21" s="602" t="s">
        <v>253</v>
      </c>
      <c r="S21" s="225"/>
      <c r="T21" s="602" t="s">
        <v>254</v>
      </c>
      <c r="U21" s="225"/>
      <c r="V21" s="602" t="s">
        <v>253</v>
      </c>
      <c r="W21" s="225"/>
      <c r="X21" s="602" t="s">
        <v>172</v>
      </c>
      <c r="Y21" s="602" t="s">
        <v>256</v>
      </c>
      <c r="Z21" s="602" t="str">
        <f t="shared" si="15"/>
        <v/>
      </c>
      <c r="AA21" s="603" t="s">
        <v>257</v>
      </c>
      <c r="AB21" s="604" t="str">
        <f t="shared" si="16"/>
        <v/>
      </c>
      <c r="AC21" s="605" t="str">
        <f>IFERROR(ROUNDDOWN(ROUNDDOWN(ROUND(L21*VLOOKUP(K21,【参考】数式用!$A$2:$M$57,MATCH("処遇改善加算Ⅳ",【参考】数式用!$G$3:$M$3,0)+6,0),0)*M21,0)*Z21*0.5,0), "")</f>
        <v/>
      </c>
      <c r="AD21" s="245"/>
      <c r="AE21" s="246"/>
      <c r="AF21" s="246"/>
      <c r="AG21" s="247"/>
      <c r="AH21" s="248"/>
      <c r="AI21" s="249"/>
      <c r="AJ21" s="250"/>
      <c r="AK21" s="606" t="str">
        <f t="shared" si="17"/>
        <v/>
      </c>
      <c r="AL21" s="607" t="str">
        <f t="shared" si="0"/>
        <v/>
      </c>
      <c r="AM21" s="608"/>
      <c r="AN21" s="609" t="str">
        <f>IFERROR(VLOOKUP(K21,【参考】数式用!$A$2:$N$57,14,FALSE),"")</f>
        <v/>
      </c>
      <c r="AO21" s="609" t="str">
        <f t="shared" si="1"/>
        <v/>
      </c>
      <c r="AP21" s="610" t="str">
        <f t="shared" si="18"/>
        <v/>
      </c>
      <c r="AQ21" s="610" t="str">
        <f t="shared" si="19"/>
        <v>キャリアパス要件Ⅰ・Ⅱ_</v>
      </c>
      <c r="AR21" s="611" t="str">
        <f t="shared" si="20"/>
        <v>入力済</v>
      </c>
      <c r="AS21" s="609" t="str">
        <f t="shared" si="2"/>
        <v/>
      </c>
      <c r="AT21" s="611" t="str">
        <f t="shared" si="3"/>
        <v>入力済</v>
      </c>
      <c r="AU21" s="611" t="str">
        <f t="shared" si="4"/>
        <v/>
      </c>
      <c r="AV21" s="611" t="str">
        <f t="shared" si="5"/>
        <v/>
      </c>
      <c r="AW21" s="609" t="str">
        <f t="shared" si="6"/>
        <v/>
      </c>
      <c r="AX21" s="609" t="str">
        <f t="shared" si="7"/>
        <v>入力済</v>
      </c>
      <c r="AY21" s="611" t="str">
        <f>IFERROR(VLOOKUP(K21,【参考】数式用!$AR$3:$AS$49, 2, FALSE), "")</f>
        <v/>
      </c>
      <c r="AZ21" s="609" t="str">
        <f t="shared" si="8"/>
        <v/>
      </c>
      <c r="BA21" s="612" t="str">
        <f t="shared" si="21"/>
        <v>入力済</v>
      </c>
      <c r="BB21" s="611" t="str">
        <f>IFERROR(VLOOKUP(K21,【参考】数式用!$AX$3:$AY$59, 2, FALSE), "")</f>
        <v/>
      </c>
      <c r="BC21" s="609" t="str">
        <f t="shared" si="9"/>
        <v/>
      </c>
      <c r="BD21" s="612" t="str">
        <f t="shared" si="22"/>
        <v>入力済</v>
      </c>
      <c r="BE21" s="612" t="str">
        <f t="shared" si="10"/>
        <v/>
      </c>
      <c r="BF21" s="612" t="str">
        <f t="shared" si="11"/>
        <v/>
      </c>
      <c r="BG21" s="612" t="str">
        <f t="shared" si="12"/>
        <v/>
      </c>
      <c r="BH21" s="612" t="str">
        <f t="shared" si="13"/>
        <v/>
      </c>
      <c r="BI21" s="612" t="str">
        <f t="shared" si="14"/>
        <v/>
      </c>
      <c r="BJ21" s="51"/>
      <c r="BK21" s="51"/>
      <c r="BL21" s="51"/>
      <c r="BM21" s="51"/>
      <c r="BN21" s="51"/>
      <c r="BO21" s="51"/>
      <c r="BP21" s="51"/>
    </row>
    <row r="22" spans="1:68" s="181" customFormat="1" ht="109.9" customHeight="1" thickBot="1">
      <c r="A22" s="599">
        <v>11</v>
      </c>
      <c r="B22" s="913" t="str">
        <f>IF(基本情報入力シート!B50="","",基本情報入力シート!B50)</f>
        <v/>
      </c>
      <c r="C22" s="914"/>
      <c r="D22" s="914"/>
      <c r="E22" s="914"/>
      <c r="F22" s="915"/>
      <c r="G22" s="600" t="str">
        <f>IF(基本情報入力シート!L50="", "", 基本情報入力シート!L50)</f>
        <v/>
      </c>
      <c r="H22" s="600" t="str">
        <f>IF(基本情報入力シート!Q50="", "", 基本情報入力シート!Q50)</f>
        <v/>
      </c>
      <c r="I22" s="600" t="str">
        <f>IF(基本情報入力シート!V50="", "", 基本情報入力シート!V50)</f>
        <v/>
      </c>
      <c r="J22" s="600" t="str">
        <f>IF(基本情報入力シート!W50="", "", 基本情報入力シート!W50)</f>
        <v/>
      </c>
      <c r="K22" s="600"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01" t="s">
        <v>170</v>
      </c>
      <c r="Q22" s="225"/>
      <c r="R22" s="602" t="s">
        <v>253</v>
      </c>
      <c r="S22" s="225"/>
      <c r="T22" s="602" t="s">
        <v>254</v>
      </c>
      <c r="U22" s="225"/>
      <c r="V22" s="602" t="s">
        <v>253</v>
      </c>
      <c r="W22" s="225"/>
      <c r="X22" s="602" t="s">
        <v>255</v>
      </c>
      <c r="Y22" s="602" t="s">
        <v>256</v>
      </c>
      <c r="Z22" s="602" t="str">
        <f t="shared" si="15"/>
        <v/>
      </c>
      <c r="AA22" s="603" t="s">
        <v>257</v>
      </c>
      <c r="AB22" s="604" t="str">
        <f t="shared" si="16"/>
        <v/>
      </c>
      <c r="AC22" s="605" t="str">
        <f>IFERROR(ROUNDDOWN(ROUNDDOWN(ROUND(L22*VLOOKUP(K22,【参考】数式用!$A$2:$M$57,MATCH("処遇改善加算Ⅳ",【参考】数式用!$G$3:$M$3,0)+6,0),0)*M22,0)*Z22*0.5,0), "")</f>
        <v/>
      </c>
      <c r="AD22" s="245"/>
      <c r="AE22" s="246"/>
      <c r="AF22" s="246"/>
      <c r="AG22" s="247"/>
      <c r="AH22" s="248"/>
      <c r="AI22" s="249"/>
      <c r="AJ22" s="250"/>
      <c r="AK22" s="606" t="str">
        <f t="shared" si="17"/>
        <v/>
      </c>
      <c r="AL22" s="607" t="str">
        <f t="shared" si="0"/>
        <v/>
      </c>
      <c r="AM22" s="608"/>
      <c r="AN22" s="609" t="str">
        <f>IFERROR(VLOOKUP(K22,【参考】数式用!$A$2:$N$57,14,FALSE),"")</f>
        <v/>
      </c>
      <c r="AO22" s="609" t="str">
        <f t="shared" si="1"/>
        <v/>
      </c>
      <c r="AP22" s="610" t="str">
        <f t="shared" si="18"/>
        <v/>
      </c>
      <c r="AQ22" s="610" t="str">
        <f t="shared" si="19"/>
        <v>キャリアパス要件Ⅰ・Ⅱ_</v>
      </c>
      <c r="AR22" s="611" t="str">
        <f t="shared" si="20"/>
        <v>入力済</v>
      </c>
      <c r="AS22" s="609" t="str">
        <f t="shared" si="2"/>
        <v/>
      </c>
      <c r="AT22" s="611" t="str">
        <f t="shared" si="3"/>
        <v>入力済</v>
      </c>
      <c r="AU22" s="611" t="str">
        <f t="shared" si="4"/>
        <v/>
      </c>
      <c r="AV22" s="611" t="str">
        <f t="shared" si="5"/>
        <v/>
      </c>
      <c r="AW22" s="609" t="str">
        <f t="shared" si="6"/>
        <v/>
      </c>
      <c r="AX22" s="609" t="str">
        <f t="shared" si="7"/>
        <v>入力済</v>
      </c>
      <c r="AY22" s="611" t="str">
        <f>IFERROR(VLOOKUP(K22,【参考】数式用!$AR$3:$AS$49, 2, FALSE), "")</f>
        <v/>
      </c>
      <c r="AZ22" s="609" t="str">
        <f t="shared" si="8"/>
        <v/>
      </c>
      <c r="BA22" s="612" t="str">
        <f t="shared" si="21"/>
        <v>入力済</v>
      </c>
      <c r="BB22" s="611" t="str">
        <f>IFERROR(VLOOKUP(K22,【参考】数式用!$AX$3:$AY$59, 2, FALSE), "")</f>
        <v/>
      </c>
      <c r="BC22" s="609" t="str">
        <f t="shared" si="9"/>
        <v/>
      </c>
      <c r="BD22" s="612" t="str">
        <f t="shared" si="22"/>
        <v>入力済</v>
      </c>
      <c r="BE22" s="612" t="str">
        <f t="shared" si="10"/>
        <v/>
      </c>
      <c r="BF22" s="612" t="str">
        <f t="shared" si="11"/>
        <v/>
      </c>
      <c r="BG22" s="612" t="str">
        <f t="shared" si="12"/>
        <v/>
      </c>
      <c r="BH22" s="612" t="str">
        <f t="shared" si="13"/>
        <v/>
      </c>
      <c r="BI22" s="612" t="str">
        <f t="shared" si="14"/>
        <v/>
      </c>
      <c r="BJ22" s="51"/>
      <c r="BK22" s="51"/>
      <c r="BL22" s="51"/>
      <c r="BM22" s="51"/>
      <c r="BN22" s="51"/>
      <c r="BO22" s="51"/>
      <c r="BP22" s="51"/>
    </row>
    <row r="23" spans="1:68" s="181" customFormat="1" ht="109.9" customHeight="1" thickBot="1">
      <c r="A23" s="599">
        <v>12</v>
      </c>
      <c r="B23" s="913" t="str">
        <f>IF(基本情報入力シート!B51="","",基本情報入力シート!B51)</f>
        <v/>
      </c>
      <c r="C23" s="914"/>
      <c r="D23" s="914"/>
      <c r="E23" s="914"/>
      <c r="F23" s="915"/>
      <c r="G23" s="600" t="str">
        <f>IF(基本情報入力シート!L51="", "", 基本情報入力シート!L51)</f>
        <v/>
      </c>
      <c r="H23" s="600" t="str">
        <f>IF(基本情報入力シート!Q51="", "", 基本情報入力シート!Q51)</f>
        <v/>
      </c>
      <c r="I23" s="600" t="str">
        <f>IF(基本情報入力シート!V51="", "", 基本情報入力シート!V51)</f>
        <v/>
      </c>
      <c r="J23" s="600" t="str">
        <f>IF(基本情報入力シート!W51="", "", 基本情報入力シート!W51)</f>
        <v/>
      </c>
      <c r="K23" s="600"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01" t="s">
        <v>170</v>
      </c>
      <c r="Q23" s="225"/>
      <c r="R23" s="602" t="s">
        <v>253</v>
      </c>
      <c r="S23" s="225"/>
      <c r="T23" s="602" t="s">
        <v>254</v>
      </c>
      <c r="U23" s="225"/>
      <c r="V23" s="602" t="s">
        <v>253</v>
      </c>
      <c r="W23" s="225"/>
      <c r="X23" s="602" t="s">
        <v>255</v>
      </c>
      <c r="Y23" s="602" t="s">
        <v>256</v>
      </c>
      <c r="Z23" s="602" t="str">
        <f t="shared" si="15"/>
        <v/>
      </c>
      <c r="AA23" s="603" t="s">
        <v>257</v>
      </c>
      <c r="AB23" s="604" t="str">
        <f t="shared" si="16"/>
        <v/>
      </c>
      <c r="AC23" s="605" t="str">
        <f>IFERROR(ROUNDDOWN(ROUNDDOWN(ROUND(L23*VLOOKUP(K23,【参考】数式用!$A$2:$M$57,MATCH("処遇改善加算Ⅳ",【参考】数式用!$G$3:$M$3,0)+6,0),0)*M23,0)*Z23*0.5,0), "")</f>
        <v/>
      </c>
      <c r="AD23" s="245"/>
      <c r="AE23" s="246"/>
      <c r="AF23" s="246"/>
      <c r="AG23" s="247"/>
      <c r="AH23" s="248"/>
      <c r="AI23" s="249"/>
      <c r="AJ23" s="250"/>
      <c r="AK23" s="606" t="str">
        <f t="shared" si="17"/>
        <v/>
      </c>
      <c r="AL23" s="607" t="str">
        <f t="shared" si="0"/>
        <v/>
      </c>
      <c r="AM23" s="608"/>
      <c r="AN23" s="609" t="str">
        <f>IFERROR(VLOOKUP(K23,【参考】数式用!$A$2:$N$57,14,FALSE),"")</f>
        <v/>
      </c>
      <c r="AO23" s="609" t="str">
        <f t="shared" si="1"/>
        <v/>
      </c>
      <c r="AP23" s="610" t="str">
        <f t="shared" si="18"/>
        <v/>
      </c>
      <c r="AQ23" s="610" t="str">
        <f t="shared" si="19"/>
        <v>キャリアパス要件Ⅰ・Ⅱ_</v>
      </c>
      <c r="AR23" s="611" t="str">
        <f t="shared" si="20"/>
        <v>入力済</v>
      </c>
      <c r="AS23" s="609" t="str">
        <f t="shared" si="2"/>
        <v/>
      </c>
      <c r="AT23" s="611" t="str">
        <f t="shared" si="3"/>
        <v>入力済</v>
      </c>
      <c r="AU23" s="611" t="str">
        <f t="shared" si="4"/>
        <v/>
      </c>
      <c r="AV23" s="611" t="str">
        <f t="shared" si="5"/>
        <v/>
      </c>
      <c r="AW23" s="609" t="str">
        <f t="shared" si="6"/>
        <v/>
      </c>
      <c r="AX23" s="609" t="str">
        <f t="shared" si="7"/>
        <v>入力済</v>
      </c>
      <c r="AY23" s="611" t="str">
        <f>IFERROR(VLOOKUP(K23,【参考】数式用!$AR$3:$AS$49, 2, FALSE), "")</f>
        <v/>
      </c>
      <c r="AZ23" s="609" t="str">
        <f t="shared" si="8"/>
        <v/>
      </c>
      <c r="BA23" s="612" t="str">
        <f t="shared" si="21"/>
        <v>入力済</v>
      </c>
      <c r="BB23" s="611" t="str">
        <f>IFERROR(VLOOKUP(K23,【参考】数式用!$AX$3:$AY$59, 2, FALSE), "")</f>
        <v/>
      </c>
      <c r="BC23" s="609" t="str">
        <f t="shared" si="9"/>
        <v/>
      </c>
      <c r="BD23" s="612" t="str">
        <f t="shared" si="22"/>
        <v>入力済</v>
      </c>
      <c r="BE23" s="612" t="str">
        <f t="shared" si="10"/>
        <v/>
      </c>
      <c r="BF23" s="612" t="str">
        <f t="shared" si="11"/>
        <v/>
      </c>
      <c r="BG23" s="612" t="str">
        <f t="shared" si="12"/>
        <v/>
      </c>
      <c r="BH23" s="612" t="str">
        <f t="shared" si="13"/>
        <v/>
      </c>
      <c r="BI23" s="612" t="str">
        <f t="shared" si="14"/>
        <v/>
      </c>
      <c r="BJ23" s="51"/>
      <c r="BK23" s="51"/>
      <c r="BL23" s="51"/>
      <c r="BM23" s="51"/>
      <c r="BN23" s="51"/>
      <c r="BO23" s="51"/>
      <c r="BP23" s="51"/>
    </row>
    <row r="24" spans="1:68" s="181" customFormat="1" ht="109.9" customHeight="1" thickBot="1">
      <c r="A24" s="599">
        <v>13</v>
      </c>
      <c r="B24" s="913" t="str">
        <f>IF(基本情報入力シート!B52="","",基本情報入力シート!B52)</f>
        <v/>
      </c>
      <c r="C24" s="914"/>
      <c r="D24" s="914"/>
      <c r="E24" s="914"/>
      <c r="F24" s="915"/>
      <c r="G24" s="600" t="str">
        <f>IF(基本情報入力シート!L52="", "", 基本情報入力シート!L52)</f>
        <v/>
      </c>
      <c r="H24" s="600" t="str">
        <f>IF(基本情報入力シート!Q52="", "", 基本情報入力シート!Q52)</f>
        <v/>
      </c>
      <c r="I24" s="600" t="str">
        <f>IF(基本情報入力シート!V52="", "", 基本情報入力シート!V52)</f>
        <v/>
      </c>
      <c r="J24" s="600" t="str">
        <f>IF(基本情報入力シート!W52="", "", 基本情報入力シート!W52)</f>
        <v/>
      </c>
      <c r="K24" s="600"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01" t="s">
        <v>170</v>
      </c>
      <c r="Q24" s="225"/>
      <c r="R24" s="602" t="s">
        <v>253</v>
      </c>
      <c r="S24" s="225"/>
      <c r="T24" s="602" t="s">
        <v>254</v>
      </c>
      <c r="U24" s="225"/>
      <c r="V24" s="602" t="s">
        <v>253</v>
      </c>
      <c r="W24" s="225"/>
      <c r="X24" s="602" t="s">
        <v>255</v>
      </c>
      <c r="Y24" s="602" t="s">
        <v>256</v>
      </c>
      <c r="Z24" s="602" t="str">
        <f t="shared" si="15"/>
        <v/>
      </c>
      <c r="AA24" s="603" t="s">
        <v>257</v>
      </c>
      <c r="AB24" s="604" t="str">
        <f t="shared" si="16"/>
        <v/>
      </c>
      <c r="AC24" s="605" t="str">
        <f>IFERROR(ROUNDDOWN(ROUNDDOWN(ROUND(L24*VLOOKUP(K24,【参考】数式用!$A$2:$M$57,MATCH("処遇改善加算Ⅳ",【参考】数式用!$G$3:$M$3,0)+6,0),0)*M24,0)*Z24*0.5,0), "")</f>
        <v/>
      </c>
      <c r="AD24" s="245"/>
      <c r="AE24" s="246"/>
      <c r="AF24" s="246"/>
      <c r="AG24" s="247"/>
      <c r="AH24" s="248"/>
      <c r="AI24" s="249"/>
      <c r="AJ24" s="250"/>
      <c r="AK24" s="606" t="str">
        <f t="shared" si="17"/>
        <v/>
      </c>
      <c r="AL24" s="607" t="str">
        <f t="shared" si="0"/>
        <v/>
      </c>
      <c r="AM24" s="608"/>
      <c r="AN24" s="609" t="str">
        <f>IFERROR(VLOOKUP(K24,【参考】数式用!$A$2:$N$57,14,FALSE),"")</f>
        <v/>
      </c>
      <c r="AO24" s="609" t="str">
        <f t="shared" si="1"/>
        <v/>
      </c>
      <c r="AP24" s="610" t="str">
        <f t="shared" si="18"/>
        <v/>
      </c>
      <c r="AQ24" s="610" t="str">
        <f t="shared" si="19"/>
        <v>キャリアパス要件Ⅰ・Ⅱ_</v>
      </c>
      <c r="AR24" s="611" t="str">
        <f t="shared" si="20"/>
        <v>入力済</v>
      </c>
      <c r="AS24" s="609" t="str">
        <f t="shared" si="2"/>
        <v/>
      </c>
      <c r="AT24" s="611" t="str">
        <f t="shared" si="3"/>
        <v>入力済</v>
      </c>
      <c r="AU24" s="611" t="str">
        <f t="shared" si="4"/>
        <v/>
      </c>
      <c r="AV24" s="611" t="str">
        <f t="shared" si="5"/>
        <v/>
      </c>
      <c r="AW24" s="609" t="str">
        <f t="shared" si="6"/>
        <v/>
      </c>
      <c r="AX24" s="609" t="str">
        <f t="shared" si="7"/>
        <v>入力済</v>
      </c>
      <c r="AY24" s="611" t="str">
        <f>IFERROR(VLOOKUP(K24,【参考】数式用!$AR$3:$AS$49, 2, FALSE), "")</f>
        <v/>
      </c>
      <c r="AZ24" s="609" t="str">
        <f t="shared" si="8"/>
        <v/>
      </c>
      <c r="BA24" s="612" t="str">
        <f t="shared" si="21"/>
        <v>入力済</v>
      </c>
      <c r="BB24" s="611" t="str">
        <f>IFERROR(VLOOKUP(K24,【参考】数式用!$AX$3:$AY$59, 2, FALSE), "")</f>
        <v/>
      </c>
      <c r="BC24" s="609" t="str">
        <f t="shared" si="9"/>
        <v/>
      </c>
      <c r="BD24" s="612" t="str">
        <f t="shared" si="22"/>
        <v>入力済</v>
      </c>
      <c r="BE24" s="612" t="str">
        <f t="shared" si="10"/>
        <v/>
      </c>
      <c r="BF24" s="612" t="str">
        <f t="shared" si="11"/>
        <v/>
      </c>
      <c r="BG24" s="612" t="str">
        <f t="shared" si="12"/>
        <v/>
      </c>
      <c r="BH24" s="612" t="str">
        <f t="shared" si="13"/>
        <v/>
      </c>
      <c r="BI24" s="612" t="str">
        <f t="shared" si="14"/>
        <v/>
      </c>
      <c r="BJ24" s="51"/>
      <c r="BK24" s="51"/>
      <c r="BL24" s="51"/>
      <c r="BM24" s="51"/>
      <c r="BN24" s="51"/>
      <c r="BO24" s="51"/>
      <c r="BP24" s="51"/>
    </row>
    <row r="25" spans="1:68" s="181" customFormat="1" ht="109.9" customHeight="1" thickBot="1">
      <c r="A25" s="599">
        <v>14</v>
      </c>
      <c r="B25" s="913" t="str">
        <f>IF(基本情報入力シート!B53="","",基本情報入力シート!B53)</f>
        <v/>
      </c>
      <c r="C25" s="914"/>
      <c r="D25" s="914"/>
      <c r="E25" s="914"/>
      <c r="F25" s="915"/>
      <c r="G25" s="600" t="str">
        <f>IF(基本情報入力シート!L53="", "", 基本情報入力シート!L53)</f>
        <v/>
      </c>
      <c r="H25" s="600" t="str">
        <f>IF(基本情報入力シート!Q53="", "", 基本情報入力シート!Q53)</f>
        <v/>
      </c>
      <c r="I25" s="600" t="str">
        <f>IF(基本情報入力シート!V53="", "", 基本情報入力シート!V53)</f>
        <v/>
      </c>
      <c r="J25" s="600" t="str">
        <f>IF(基本情報入力シート!W53="", "", 基本情報入力シート!W53)</f>
        <v/>
      </c>
      <c r="K25" s="600"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01" t="s">
        <v>170</v>
      </c>
      <c r="Q25" s="225"/>
      <c r="R25" s="602" t="s">
        <v>253</v>
      </c>
      <c r="S25" s="225"/>
      <c r="T25" s="602" t="s">
        <v>254</v>
      </c>
      <c r="U25" s="225"/>
      <c r="V25" s="602" t="s">
        <v>253</v>
      </c>
      <c r="W25" s="225"/>
      <c r="X25" s="602" t="s">
        <v>172</v>
      </c>
      <c r="Y25" s="602" t="s">
        <v>256</v>
      </c>
      <c r="Z25" s="602" t="str">
        <f t="shared" si="15"/>
        <v/>
      </c>
      <c r="AA25" s="603" t="s">
        <v>257</v>
      </c>
      <c r="AB25" s="604" t="str">
        <f t="shared" si="16"/>
        <v/>
      </c>
      <c r="AC25" s="605" t="str">
        <f>IFERROR(ROUNDDOWN(ROUNDDOWN(ROUND(L25*VLOOKUP(K25,【参考】数式用!$A$2:$M$57,MATCH("処遇改善加算Ⅳ",【参考】数式用!$G$3:$M$3,0)+6,0),0)*M25,0)*Z25*0.5,0), "")</f>
        <v/>
      </c>
      <c r="AD25" s="245"/>
      <c r="AE25" s="246"/>
      <c r="AF25" s="246"/>
      <c r="AG25" s="247"/>
      <c r="AH25" s="248"/>
      <c r="AI25" s="249"/>
      <c r="AJ25" s="250"/>
      <c r="AK25" s="606" t="str">
        <f t="shared" si="17"/>
        <v/>
      </c>
      <c r="AL25" s="607" t="str">
        <f t="shared" si="0"/>
        <v/>
      </c>
      <c r="AM25" s="608"/>
      <c r="AN25" s="609" t="str">
        <f>IFERROR(VLOOKUP(K25,【参考】数式用!$A$2:$N$57,14,FALSE),"")</f>
        <v/>
      </c>
      <c r="AO25" s="609" t="str">
        <f t="shared" si="1"/>
        <v/>
      </c>
      <c r="AP25" s="610" t="str">
        <f t="shared" si="18"/>
        <v/>
      </c>
      <c r="AQ25" s="610" t="str">
        <f t="shared" si="19"/>
        <v>キャリアパス要件Ⅰ・Ⅱ_</v>
      </c>
      <c r="AR25" s="611" t="str">
        <f t="shared" si="20"/>
        <v>入力済</v>
      </c>
      <c r="AS25" s="609" t="str">
        <f t="shared" si="2"/>
        <v/>
      </c>
      <c r="AT25" s="611" t="str">
        <f t="shared" si="3"/>
        <v>入力済</v>
      </c>
      <c r="AU25" s="611" t="str">
        <f t="shared" si="4"/>
        <v/>
      </c>
      <c r="AV25" s="611" t="str">
        <f t="shared" si="5"/>
        <v/>
      </c>
      <c r="AW25" s="609" t="str">
        <f t="shared" si="6"/>
        <v/>
      </c>
      <c r="AX25" s="609" t="str">
        <f t="shared" si="7"/>
        <v>入力済</v>
      </c>
      <c r="AY25" s="611" t="str">
        <f>IFERROR(VLOOKUP(K25,【参考】数式用!$AR$3:$AS$49, 2, FALSE), "")</f>
        <v/>
      </c>
      <c r="AZ25" s="609" t="str">
        <f t="shared" si="8"/>
        <v/>
      </c>
      <c r="BA25" s="612" t="str">
        <f t="shared" si="21"/>
        <v>入力済</v>
      </c>
      <c r="BB25" s="611" t="str">
        <f>IFERROR(VLOOKUP(K25,【参考】数式用!$AX$3:$AY$59, 2, FALSE), "")</f>
        <v/>
      </c>
      <c r="BC25" s="609" t="str">
        <f t="shared" si="9"/>
        <v/>
      </c>
      <c r="BD25" s="612" t="str">
        <f t="shared" si="22"/>
        <v>入力済</v>
      </c>
      <c r="BE25" s="612" t="str">
        <f t="shared" si="10"/>
        <v/>
      </c>
      <c r="BF25" s="612" t="str">
        <f t="shared" si="11"/>
        <v/>
      </c>
      <c r="BG25" s="612" t="str">
        <f t="shared" si="12"/>
        <v/>
      </c>
      <c r="BH25" s="612" t="str">
        <f t="shared" si="13"/>
        <v/>
      </c>
      <c r="BI25" s="612" t="str">
        <f t="shared" si="14"/>
        <v/>
      </c>
      <c r="BJ25" s="51"/>
      <c r="BK25" s="51"/>
      <c r="BL25" s="51"/>
      <c r="BM25" s="51"/>
      <c r="BN25" s="51"/>
      <c r="BO25" s="51"/>
      <c r="BP25" s="51"/>
    </row>
    <row r="26" spans="1:68" s="181" customFormat="1" ht="109.9" customHeight="1" thickBot="1">
      <c r="A26" s="599">
        <v>15</v>
      </c>
      <c r="B26" s="913" t="str">
        <f>IF(基本情報入力シート!B54="","",基本情報入力シート!B54)</f>
        <v/>
      </c>
      <c r="C26" s="914"/>
      <c r="D26" s="914"/>
      <c r="E26" s="914"/>
      <c r="F26" s="915"/>
      <c r="G26" s="600" t="str">
        <f>IF(基本情報入力シート!L54="", "", 基本情報入力シート!L54)</f>
        <v/>
      </c>
      <c r="H26" s="600" t="str">
        <f>IF(基本情報入力シート!Q54="", "", 基本情報入力シート!Q54)</f>
        <v/>
      </c>
      <c r="I26" s="600" t="str">
        <f>IF(基本情報入力シート!V54="", "", 基本情報入力シート!V54)</f>
        <v/>
      </c>
      <c r="J26" s="600" t="str">
        <f>IF(基本情報入力シート!W54="", "", 基本情報入力シート!W54)</f>
        <v/>
      </c>
      <c r="K26" s="600"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01" t="s">
        <v>170</v>
      </c>
      <c r="Q26" s="225"/>
      <c r="R26" s="602" t="s">
        <v>253</v>
      </c>
      <c r="S26" s="225"/>
      <c r="T26" s="602" t="s">
        <v>254</v>
      </c>
      <c r="U26" s="225"/>
      <c r="V26" s="602" t="s">
        <v>253</v>
      </c>
      <c r="W26" s="225"/>
      <c r="X26" s="602" t="s">
        <v>172</v>
      </c>
      <c r="Y26" s="602" t="s">
        <v>256</v>
      </c>
      <c r="Z26" s="602" t="str">
        <f t="shared" si="15"/>
        <v/>
      </c>
      <c r="AA26" s="603" t="s">
        <v>257</v>
      </c>
      <c r="AB26" s="604" t="str">
        <f t="shared" si="16"/>
        <v/>
      </c>
      <c r="AC26" s="605" t="str">
        <f>IFERROR(ROUNDDOWN(ROUNDDOWN(ROUND(L26*VLOOKUP(K26,【参考】数式用!$A$2:$M$57,MATCH("処遇改善加算Ⅳ",【参考】数式用!$G$3:$M$3,0)+6,0),0)*M26,0)*Z26*0.5,0), "")</f>
        <v/>
      </c>
      <c r="AD26" s="245"/>
      <c r="AE26" s="246"/>
      <c r="AF26" s="246"/>
      <c r="AG26" s="247"/>
      <c r="AH26" s="248"/>
      <c r="AI26" s="249"/>
      <c r="AJ26" s="250"/>
      <c r="AK26" s="606" t="str">
        <f t="shared" si="17"/>
        <v/>
      </c>
      <c r="AL26" s="607" t="str">
        <f t="shared" si="0"/>
        <v/>
      </c>
      <c r="AM26" s="608"/>
      <c r="AN26" s="609" t="str">
        <f>IFERROR(VLOOKUP(K26,【参考】数式用!$A$2:$N$57,14,FALSE),"")</f>
        <v/>
      </c>
      <c r="AO26" s="609" t="str">
        <f t="shared" si="1"/>
        <v/>
      </c>
      <c r="AP26" s="610" t="str">
        <f t="shared" si="18"/>
        <v/>
      </c>
      <c r="AQ26" s="610" t="str">
        <f t="shared" si="19"/>
        <v>キャリアパス要件Ⅰ・Ⅱ_</v>
      </c>
      <c r="AR26" s="611" t="str">
        <f t="shared" si="20"/>
        <v>入力済</v>
      </c>
      <c r="AS26" s="609" t="str">
        <f t="shared" si="2"/>
        <v/>
      </c>
      <c r="AT26" s="611" t="str">
        <f t="shared" si="3"/>
        <v>入力済</v>
      </c>
      <c r="AU26" s="611" t="str">
        <f t="shared" si="4"/>
        <v/>
      </c>
      <c r="AV26" s="611" t="str">
        <f t="shared" si="5"/>
        <v/>
      </c>
      <c r="AW26" s="609" t="str">
        <f t="shared" si="6"/>
        <v/>
      </c>
      <c r="AX26" s="609" t="str">
        <f t="shared" si="7"/>
        <v>入力済</v>
      </c>
      <c r="AY26" s="611" t="str">
        <f>IFERROR(VLOOKUP(K26,【参考】数式用!$AR$3:$AS$49, 2, FALSE), "")</f>
        <v/>
      </c>
      <c r="AZ26" s="609" t="str">
        <f t="shared" si="8"/>
        <v/>
      </c>
      <c r="BA26" s="612" t="str">
        <f t="shared" si="21"/>
        <v>入力済</v>
      </c>
      <c r="BB26" s="611" t="str">
        <f>IFERROR(VLOOKUP(K26,【参考】数式用!$AX$3:$AY$59, 2, FALSE), "")</f>
        <v/>
      </c>
      <c r="BC26" s="609" t="str">
        <f t="shared" si="9"/>
        <v/>
      </c>
      <c r="BD26" s="612" t="str">
        <f t="shared" si="22"/>
        <v>入力済</v>
      </c>
      <c r="BE26" s="612" t="str">
        <f t="shared" si="10"/>
        <v/>
      </c>
      <c r="BF26" s="612" t="str">
        <f t="shared" si="11"/>
        <v/>
      </c>
      <c r="BG26" s="612" t="str">
        <f t="shared" si="12"/>
        <v/>
      </c>
      <c r="BH26" s="612" t="str">
        <f t="shared" si="13"/>
        <v/>
      </c>
      <c r="BI26" s="612" t="str">
        <f t="shared" si="14"/>
        <v/>
      </c>
      <c r="BJ26" s="51"/>
      <c r="BK26" s="51"/>
      <c r="BL26" s="51"/>
      <c r="BM26" s="51"/>
      <c r="BN26" s="51"/>
      <c r="BO26" s="51"/>
      <c r="BP26" s="51"/>
    </row>
    <row r="27" spans="1:68" s="181" customFormat="1" ht="109.9" customHeight="1" thickBot="1">
      <c r="A27" s="599">
        <v>16</v>
      </c>
      <c r="B27" s="913" t="str">
        <f>IF(基本情報入力シート!B55="","",基本情報入力シート!B55)</f>
        <v/>
      </c>
      <c r="C27" s="914"/>
      <c r="D27" s="914"/>
      <c r="E27" s="914"/>
      <c r="F27" s="915"/>
      <c r="G27" s="600" t="str">
        <f>IF(基本情報入力シート!L55="", "", 基本情報入力シート!L55)</f>
        <v/>
      </c>
      <c r="H27" s="600" t="str">
        <f>IF(基本情報入力シート!Q55="", "", 基本情報入力シート!Q55)</f>
        <v/>
      </c>
      <c r="I27" s="600" t="str">
        <f>IF(基本情報入力シート!V55="", "", 基本情報入力シート!V55)</f>
        <v/>
      </c>
      <c r="J27" s="600" t="str">
        <f>IF(基本情報入力シート!W55="", "", 基本情報入力シート!W55)</f>
        <v/>
      </c>
      <c r="K27" s="600"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01" t="s">
        <v>170</v>
      </c>
      <c r="Q27" s="225"/>
      <c r="R27" s="602" t="s">
        <v>253</v>
      </c>
      <c r="S27" s="225"/>
      <c r="T27" s="602" t="s">
        <v>254</v>
      </c>
      <c r="U27" s="225"/>
      <c r="V27" s="602" t="s">
        <v>253</v>
      </c>
      <c r="W27" s="225"/>
      <c r="X27" s="602" t="s">
        <v>255</v>
      </c>
      <c r="Y27" s="602" t="s">
        <v>256</v>
      </c>
      <c r="Z27" s="602" t="str">
        <f t="shared" si="15"/>
        <v/>
      </c>
      <c r="AA27" s="603" t="s">
        <v>257</v>
      </c>
      <c r="AB27" s="604" t="str">
        <f t="shared" si="16"/>
        <v/>
      </c>
      <c r="AC27" s="605" t="str">
        <f>IFERROR(ROUNDDOWN(ROUNDDOWN(ROUND(L27*VLOOKUP(K27,【参考】数式用!$A$2:$M$57,MATCH("処遇改善加算Ⅳ",【参考】数式用!$G$3:$M$3,0)+6,0),0)*M27,0)*Z27*0.5,0), "")</f>
        <v/>
      </c>
      <c r="AD27" s="245"/>
      <c r="AE27" s="246"/>
      <c r="AF27" s="246"/>
      <c r="AG27" s="247"/>
      <c r="AH27" s="248"/>
      <c r="AI27" s="249"/>
      <c r="AJ27" s="250"/>
      <c r="AK27" s="606" t="str">
        <f t="shared" si="17"/>
        <v/>
      </c>
      <c r="AL27" s="607" t="str">
        <f t="shared" si="0"/>
        <v/>
      </c>
      <c r="AM27" s="608"/>
      <c r="AN27" s="609" t="str">
        <f>IFERROR(VLOOKUP(K27,【参考】数式用!$A$2:$N$57,14,FALSE),"")</f>
        <v/>
      </c>
      <c r="AO27" s="609" t="str">
        <f t="shared" si="1"/>
        <v/>
      </c>
      <c r="AP27" s="610" t="str">
        <f t="shared" si="18"/>
        <v/>
      </c>
      <c r="AQ27" s="610" t="str">
        <f t="shared" si="19"/>
        <v>キャリアパス要件Ⅰ・Ⅱ_</v>
      </c>
      <c r="AR27" s="611" t="str">
        <f t="shared" si="20"/>
        <v>入力済</v>
      </c>
      <c r="AS27" s="609" t="str">
        <f t="shared" si="2"/>
        <v/>
      </c>
      <c r="AT27" s="611" t="str">
        <f t="shared" si="3"/>
        <v>入力済</v>
      </c>
      <c r="AU27" s="611" t="str">
        <f t="shared" si="4"/>
        <v/>
      </c>
      <c r="AV27" s="611" t="str">
        <f t="shared" si="5"/>
        <v/>
      </c>
      <c r="AW27" s="609" t="str">
        <f t="shared" si="6"/>
        <v/>
      </c>
      <c r="AX27" s="609" t="str">
        <f t="shared" si="7"/>
        <v>入力済</v>
      </c>
      <c r="AY27" s="611" t="str">
        <f>IFERROR(VLOOKUP(K27,【参考】数式用!$AR$3:$AS$49, 2, FALSE), "")</f>
        <v/>
      </c>
      <c r="AZ27" s="609" t="str">
        <f t="shared" si="8"/>
        <v/>
      </c>
      <c r="BA27" s="612" t="str">
        <f t="shared" si="21"/>
        <v>入力済</v>
      </c>
      <c r="BB27" s="611" t="str">
        <f>IFERROR(VLOOKUP(K27,【参考】数式用!$AX$3:$AY$59, 2, FALSE), "")</f>
        <v/>
      </c>
      <c r="BC27" s="609" t="str">
        <f t="shared" si="9"/>
        <v/>
      </c>
      <c r="BD27" s="612" t="str">
        <f t="shared" si="22"/>
        <v>入力済</v>
      </c>
      <c r="BE27" s="612" t="str">
        <f t="shared" si="10"/>
        <v/>
      </c>
      <c r="BF27" s="612" t="str">
        <f t="shared" si="11"/>
        <v/>
      </c>
      <c r="BG27" s="612" t="str">
        <f t="shared" si="12"/>
        <v/>
      </c>
      <c r="BH27" s="612" t="str">
        <f t="shared" si="13"/>
        <v/>
      </c>
      <c r="BI27" s="612" t="str">
        <f t="shared" si="14"/>
        <v/>
      </c>
      <c r="BJ27" s="51"/>
      <c r="BK27" s="51"/>
      <c r="BL27" s="51"/>
      <c r="BM27" s="51"/>
      <c r="BN27" s="51"/>
      <c r="BO27" s="51"/>
      <c r="BP27" s="51"/>
    </row>
    <row r="28" spans="1:68" s="181" customFormat="1" ht="109.9" customHeight="1" thickBot="1">
      <c r="A28" s="599">
        <v>17</v>
      </c>
      <c r="B28" s="913" t="str">
        <f>IF(基本情報入力シート!B56="","",基本情報入力シート!B56)</f>
        <v/>
      </c>
      <c r="C28" s="914"/>
      <c r="D28" s="914"/>
      <c r="E28" s="914"/>
      <c r="F28" s="915"/>
      <c r="G28" s="600" t="str">
        <f>IF(基本情報入力シート!L56="", "", 基本情報入力シート!L56)</f>
        <v/>
      </c>
      <c r="H28" s="600" t="str">
        <f>IF(基本情報入力シート!Q56="", "", 基本情報入力シート!Q56)</f>
        <v/>
      </c>
      <c r="I28" s="600" t="str">
        <f>IF(基本情報入力シート!V56="", "", 基本情報入力シート!V56)</f>
        <v/>
      </c>
      <c r="J28" s="600" t="str">
        <f>IF(基本情報入力シート!W56="", "", 基本情報入力シート!W56)</f>
        <v/>
      </c>
      <c r="K28" s="600"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01" t="s">
        <v>170</v>
      </c>
      <c r="Q28" s="225"/>
      <c r="R28" s="602" t="s">
        <v>253</v>
      </c>
      <c r="S28" s="225"/>
      <c r="T28" s="602" t="s">
        <v>254</v>
      </c>
      <c r="U28" s="225"/>
      <c r="V28" s="602" t="s">
        <v>253</v>
      </c>
      <c r="W28" s="225"/>
      <c r="X28" s="602" t="s">
        <v>255</v>
      </c>
      <c r="Y28" s="602" t="s">
        <v>256</v>
      </c>
      <c r="Z28" s="602" t="str">
        <f t="shared" si="15"/>
        <v/>
      </c>
      <c r="AA28" s="603" t="s">
        <v>257</v>
      </c>
      <c r="AB28" s="604" t="str">
        <f t="shared" si="16"/>
        <v/>
      </c>
      <c r="AC28" s="605" t="str">
        <f>IFERROR(ROUNDDOWN(ROUNDDOWN(ROUND(L28*VLOOKUP(K28,【参考】数式用!$A$2:$M$57,MATCH("処遇改善加算Ⅳ",【参考】数式用!$G$3:$M$3,0)+6,0),0)*M28,0)*Z28*0.5,0), "")</f>
        <v/>
      </c>
      <c r="AD28" s="245"/>
      <c r="AE28" s="246"/>
      <c r="AF28" s="246"/>
      <c r="AG28" s="247"/>
      <c r="AH28" s="248"/>
      <c r="AI28" s="249"/>
      <c r="AJ28" s="250"/>
      <c r="AK28" s="606" t="str">
        <f t="shared" si="17"/>
        <v/>
      </c>
      <c r="AL28" s="607" t="str">
        <f t="shared" si="0"/>
        <v/>
      </c>
      <c r="AM28" s="608"/>
      <c r="AN28" s="609" t="str">
        <f>IFERROR(VLOOKUP(K28,【参考】数式用!$A$2:$N$57,14,FALSE),"")</f>
        <v/>
      </c>
      <c r="AO28" s="609" t="str">
        <f t="shared" si="1"/>
        <v/>
      </c>
      <c r="AP28" s="610" t="str">
        <f t="shared" si="18"/>
        <v/>
      </c>
      <c r="AQ28" s="610" t="str">
        <f t="shared" si="19"/>
        <v>キャリアパス要件Ⅰ・Ⅱ_</v>
      </c>
      <c r="AR28" s="611" t="str">
        <f t="shared" si="20"/>
        <v>入力済</v>
      </c>
      <c r="AS28" s="609" t="str">
        <f t="shared" si="2"/>
        <v/>
      </c>
      <c r="AT28" s="611" t="str">
        <f t="shared" si="3"/>
        <v>入力済</v>
      </c>
      <c r="AU28" s="611" t="str">
        <f t="shared" si="4"/>
        <v/>
      </c>
      <c r="AV28" s="611" t="str">
        <f t="shared" si="5"/>
        <v/>
      </c>
      <c r="AW28" s="609" t="str">
        <f t="shared" si="6"/>
        <v/>
      </c>
      <c r="AX28" s="609" t="str">
        <f t="shared" si="7"/>
        <v>入力済</v>
      </c>
      <c r="AY28" s="611" t="str">
        <f>IFERROR(VLOOKUP(K28,【参考】数式用!$AR$3:$AS$49, 2, FALSE), "")</f>
        <v/>
      </c>
      <c r="AZ28" s="609" t="str">
        <f t="shared" si="8"/>
        <v/>
      </c>
      <c r="BA28" s="612" t="str">
        <f t="shared" si="21"/>
        <v>入力済</v>
      </c>
      <c r="BB28" s="611" t="str">
        <f>IFERROR(VLOOKUP(K28,【参考】数式用!$AX$3:$AY$59, 2, FALSE), "")</f>
        <v/>
      </c>
      <c r="BC28" s="609" t="str">
        <f t="shared" si="9"/>
        <v/>
      </c>
      <c r="BD28" s="612" t="str">
        <f t="shared" si="22"/>
        <v>入力済</v>
      </c>
      <c r="BE28" s="612" t="str">
        <f t="shared" si="10"/>
        <v/>
      </c>
      <c r="BF28" s="612" t="str">
        <f t="shared" si="11"/>
        <v/>
      </c>
      <c r="BG28" s="612" t="str">
        <f t="shared" si="12"/>
        <v/>
      </c>
      <c r="BH28" s="612" t="str">
        <f t="shared" si="13"/>
        <v/>
      </c>
      <c r="BI28" s="612" t="str">
        <f t="shared" si="14"/>
        <v/>
      </c>
      <c r="BJ28" s="51"/>
      <c r="BK28" s="51"/>
      <c r="BL28" s="51"/>
      <c r="BM28" s="51"/>
      <c r="BN28" s="51"/>
      <c r="BO28" s="51"/>
      <c r="BP28" s="51"/>
    </row>
    <row r="29" spans="1:68" s="181" customFormat="1" ht="109.9" customHeight="1" thickBot="1">
      <c r="A29" s="599">
        <v>18</v>
      </c>
      <c r="B29" s="913" t="str">
        <f>IF(基本情報入力シート!B57="","",基本情報入力シート!B57)</f>
        <v/>
      </c>
      <c r="C29" s="914"/>
      <c r="D29" s="914"/>
      <c r="E29" s="914"/>
      <c r="F29" s="915"/>
      <c r="G29" s="600" t="str">
        <f>IF(基本情報入力シート!L57="", "", 基本情報入力シート!L57)</f>
        <v/>
      </c>
      <c r="H29" s="600" t="str">
        <f>IF(基本情報入力シート!Q57="", "", 基本情報入力シート!Q57)</f>
        <v/>
      </c>
      <c r="I29" s="600" t="str">
        <f>IF(基本情報入力シート!V57="", "", 基本情報入力シート!V57)</f>
        <v/>
      </c>
      <c r="J29" s="600" t="str">
        <f>IF(基本情報入力シート!W57="", "", 基本情報入力シート!W57)</f>
        <v/>
      </c>
      <c r="K29" s="600"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01" t="s">
        <v>170</v>
      </c>
      <c r="Q29" s="225"/>
      <c r="R29" s="602" t="s">
        <v>253</v>
      </c>
      <c r="S29" s="225"/>
      <c r="T29" s="602" t="s">
        <v>254</v>
      </c>
      <c r="U29" s="225"/>
      <c r="V29" s="602" t="s">
        <v>253</v>
      </c>
      <c r="W29" s="225"/>
      <c r="X29" s="602" t="s">
        <v>255</v>
      </c>
      <c r="Y29" s="602" t="s">
        <v>256</v>
      </c>
      <c r="Z29" s="602" t="str">
        <f t="shared" si="15"/>
        <v/>
      </c>
      <c r="AA29" s="603" t="s">
        <v>257</v>
      </c>
      <c r="AB29" s="604" t="str">
        <f t="shared" si="16"/>
        <v/>
      </c>
      <c r="AC29" s="605" t="str">
        <f>IFERROR(ROUNDDOWN(ROUNDDOWN(ROUND(L29*VLOOKUP(K29,【参考】数式用!$A$2:$M$57,MATCH("処遇改善加算Ⅳ",【参考】数式用!$G$3:$M$3,0)+6,0),0)*M29,0)*Z29*0.5,0), "")</f>
        <v/>
      </c>
      <c r="AD29" s="245"/>
      <c r="AE29" s="246"/>
      <c r="AF29" s="246"/>
      <c r="AG29" s="247"/>
      <c r="AH29" s="248"/>
      <c r="AI29" s="249"/>
      <c r="AJ29" s="250"/>
      <c r="AK29" s="606" t="str">
        <f t="shared" si="17"/>
        <v/>
      </c>
      <c r="AL29" s="607" t="str">
        <f t="shared" si="0"/>
        <v/>
      </c>
      <c r="AM29" s="608"/>
      <c r="AN29" s="609" t="str">
        <f>IFERROR(VLOOKUP(K29,【参考】数式用!$A$2:$N$57,14,FALSE),"")</f>
        <v/>
      </c>
      <c r="AO29" s="609" t="str">
        <f t="shared" si="1"/>
        <v/>
      </c>
      <c r="AP29" s="610" t="str">
        <f t="shared" si="18"/>
        <v/>
      </c>
      <c r="AQ29" s="610" t="str">
        <f t="shared" si="19"/>
        <v>キャリアパス要件Ⅰ・Ⅱ_</v>
      </c>
      <c r="AR29" s="611" t="str">
        <f t="shared" si="20"/>
        <v>入力済</v>
      </c>
      <c r="AS29" s="609" t="str">
        <f t="shared" si="2"/>
        <v/>
      </c>
      <c r="AT29" s="611" t="str">
        <f t="shared" si="3"/>
        <v>入力済</v>
      </c>
      <c r="AU29" s="611" t="str">
        <f t="shared" si="4"/>
        <v/>
      </c>
      <c r="AV29" s="611" t="str">
        <f t="shared" si="5"/>
        <v/>
      </c>
      <c r="AW29" s="609" t="str">
        <f t="shared" si="6"/>
        <v/>
      </c>
      <c r="AX29" s="609" t="str">
        <f t="shared" si="7"/>
        <v>入力済</v>
      </c>
      <c r="AY29" s="611" t="str">
        <f>IFERROR(VLOOKUP(K29,【参考】数式用!$AR$3:$AS$49, 2, FALSE), "")</f>
        <v/>
      </c>
      <c r="AZ29" s="609" t="str">
        <f t="shared" si="8"/>
        <v/>
      </c>
      <c r="BA29" s="612" t="str">
        <f t="shared" si="21"/>
        <v>入力済</v>
      </c>
      <c r="BB29" s="611" t="str">
        <f>IFERROR(VLOOKUP(K29,【参考】数式用!$AX$3:$AY$59, 2, FALSE), "")</f>
        <v/>
      </c>
      <c r="BC29" s="609" t="str">
        <f t="shared" si="9"/>
        <v/>
      </c>
      <c r="BD29" s="612" t="str">
        <f t="shared" si="22"/>
        <v>入力済</v>
      </c>
      <c r="BE29" s="612" t="str">
        <f t="shared" si="10"/>
        <v/>
      </c>
      <c r="BF29" s="612" t="str">
        <f t="shared" si="11"/>
        <v/>
      </c>
      <c r="BG29" s="612" t="str">
        <f t="shared" si="12"/>
        <v/>
      </c>
      <c r="BH29" s="612" t="str">
        <f t="shared" si="13"/>
        <v/>
      </c>
      <c r="BI29" s="612" t="str">
        <f t="shared" si="14"/>
        <v/>
      </c>
      <c r="BJ29" s="51"/>
      <c r="BK29" s="51"/>
      <c r="BL29" s="51"/>
      <c r="BM29" s="51"/>
      <c r="BN29" s="51"/>
      <c r="BO29" s="51"/>
      <c r="BP29" s="51"/>
    </row>
    <row r="30" spans="1:68" s="181" customFormat="1" ht="109.9" customHeight="1" thickBot="1">
      <c r="A30" s="599">
        <v>19</v>
      </c>
      <c r="B30" s="913" t="str">
        <f>IF(基本情報入力シート!B58="","",基本情報入力シート!B58)</f>
        <v/>
      </c>
      <c r="C30" s="914"/>
      <c r="D30" s="914"/>
      <c r="E30" s="914"/>
      <c r="F30" s="915"/>
      <c r="G30" s="600" t="str">
        <f>IF(基本情報入力シート!L58="", "", 基本情報入力シート!L58)</f>
        <v/>
      </c>
      <c r="H30" s="600" t="str">
        <f>IF(基本情報入力シート!Q58="", "", 基本情報入力シート!Q58)</f>
        <v/>
      </c>
      <c r="I30" s="600" t="str">
        <f>IF(基本情報入力シート!V58="", "", 基本情報入力シート!V58)</f>
        <v/>
      </c>
      <c r="J30" s="600" t="str">
        <f>IF(基本情報入力シート!W58="", "", 基本情報入力シート!W58)</f>
        <v/>
      </c>
      <c r="K30" s="600"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01" t="s">
        <v>170</v>
      </c>
      <c r="Q30" s="225"/>
      <c r="R30" s="602" t="s">
        <v>253</v>
      </c>
      <c r="S30" s="225"/>
      <c r="T30" s="602" t="s">
        <v>254</v>
      </c>
      <c r="U30" s="225"/>
      <c r="V30" s="602" t="s">
        <v>253</v>
      </c>
      <c r="W30" s="225"/>
      <c r="X30" s="602" t="s">
        <v>172</v>
      </c>
      <c r="Y30" s="602" t="s">
        <v>256</v>
      </c>
      <c r="Z30" s="602" t="str">
        <f t="shared" si="15"/>
        <v/>
      </c>
      <c r="AA30" s="603" t="s">
        <v>257</v>
      </c>
      <c r="AB30" s="604" t="str">
        <f t="shared" si="16"/>
        <v/>
      </c>
      <c r="AC30" s="605" t="str">
        <f>IFERROR(ROUNDDOWN(ROUNDDOWN(ROUND(L30*VLOOKUP(K30,【参考】数式用!$A$2:$M$57,MATCH("処遇改善加算Ⅳ",【参考】数式用!$G$3:$M$3,0)+6,0),0)*M30,0)*Z30*0.5,0), "")</f>
        <v/>
      </c>
      <c r="AD30" s="245"/>
      <c r="AE30" s="246"/>
      <c r="AF30" s="246"/>
      <c r="AG30" s="247"/>
      <c r="AH30" s="248"/>
      <c r="AI30" s="249"/>
      <c r="AJ30" s="250"/>
      <c r="AK30" s="606" t="str">
        <f t="shared" si="17"/>
        <v/>
      </c>
      <c r="AL30" s="607" t="str">
        <f t="shared" si="0"/>
        <v/>
      </c>
      <c r="AM30" s="608"/>
      <c r="AN30" s="609" t="str">
        <f>IFERROR(VLOOKUP(K30,【参考】数式用!$A$2:$N$57,14,FALSE),"")</f>
        <v/>
      </c>
      <c r="AO30" s="609" t="str">
        <f t="shared" si="1"/>
        <v/>
      </c>
      <c r="AP30" s="610" t="str">
        <f t="shared" si="18"/>
        <v/>
      </c>
      <c r="AQ30" s="610" t="str">
        <f t="shared" si="19"/>
        <v>キャリアパス要件Ⅰ・Ⅱ_</v>
      </c>
      <c r="AR30" s="611" t="str">
        <f t="shared" si="20"/>
        <v>入力済</v>
      </c>
      <c r="AS30" s="609" t="str">
        <f t="shared" si="2"/>
        <v/>
      </c>
      <c r="AT30" s="611" t="str">
        <f t="shared" si="3"/>
        <v>入力済</v>
      </c>
      <c r="AU30" s="611" t="str">
        <f t="shared" si="4"/>
        <v/>
      </c>
      <c r="AV30" s="611" t="str">
        <f t="shared" si="5"/>
        <v/>
      </c>
      <c r="AW30" s="609" t="str">
        <f t="shared" si="6"/>
        <v/>
      </c>
      <c r="AX30" s="609" t="str">
        <f t="shared" si="7"/>
        <v>入力済</v>
      </c>
      <c r="AY30" s="611" t="str">
        <f>IFERROR(VLOOKUP(K30,【参考】数式用!$AR$3:$AS$49, 2, FALSE), "")</f>
        <v/>
      </c>
      <c r="AZ30" s="609" t="str">
        <f t="shared" si="8"/>
        <v/>
      </c>
      <c r="BA30" s="612" t="str">
        <f t="shared" si="21"/>
        <v>入力済</v>
      </c>
      <c r="BB30" s="611" t="str">
        <f>IFERROR(VLOOKUP(K30,【参考】数式用!$AX$3:$AY$59, 2, FALSE), "")</f>
        <v/>
      </c>
      <c r="BC30" s="609" t="str">
        <f t="shared" si="9"/>
        <v/>
      </c>
      <c r="BD30" s="612" t="str">
        <f t="shared" si="22"/>
        <v>入力済</v>
      </c>
      <c r="BE30" s="612" t="str">
        <f t="shared" si="10"/>
        <v/>
      </c>
      <c r="BF30" s="612" t="str">
        <f t="shared" si="11"/>
        <v/>
      </c>
      <c r="BG30" s="612" t="str">
        <f t="shared" si="12"/>
        <v/>
      </c>
      <c r="BH30" s="612" t="str">
        <f t="shared" si="13"/>
        <v/>
      </c>
      <c r="BI30" s="612" t="str">
        <f t="shared" si="14"/>
        <v/>
      </c>
      <c r="BJ30" s="51"/>
      <c r="BK30" s="51"/>
      <c r="BL30" s="51"/>
      <c r="BM30" s="51"/>
      <c r="BN30" s="51"/>
      <c r="BO30" s="51"/>
      <c r="BP30" s="51"/>
    </row>
    <row r="31" spans="1:68" s="181" customFormat="1" ht="109.9" customHeight="1" thickBot="1">
      <c r="A31" s="599">
        <v>20</v>
      </c>
      <c r="B31" s="913" t="str">
        <f>IF(基本情報入力シート!B59="","",基本情報入力シート!B59)</f>
        <v/>
      </c>
      <c r="C31" s="914"/>
      <c r="D31" s="914"/>
      <c r="E31" s="914"/>
      <c r="F31" s="915"/>
      <c r="G31" s="600" t="str">
        <f>IF(基本情報入力シート!L59="", "", 基本情報入力シート!L59)</f>
        <v/>
      </c>
      <c r="H31" s="600" t="str">
        <f>IF(基本情報入力シート!Q59="", "", 基本情報入力シート!Q59)</f>
        <v/>
      </c>
      <c r="I31" s="600" t="str">
        <f>IF(基本情報入力シート!V59="", "", 基本情報入力シート!V59)</f>
        <v/>
      </c>
      <c r="J31" s="600" t="str">
        <f>IF(基本情報入力シート!W59="", "", 基本情報入力シート!W59)</f>
        <v/>
      </c>
      <c r="K31" s="600"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01" t="s">
        <v>170</v>
      </c>
      <c r="Q31" s="225"/>
      <c r="R31" s="602" t="s">
        <v>253</v>
      </c>
      <c r="S31" s="225"/>
      <c r="T31" s="602" t="s">
        <v>254</v>
      </c>
      <c r="U31" s="225"/>
      <c r="V31" s="602" t="s">
        <v>253</v>
      </c>
      <c r="W31" s="225"/>
      <c r="X31" s="602" t="s">
        <v>255</v>
      </c>
      <c r="Y31" s="602" t="s">
        <v>256</v>
      </c>
      <c r="Z31" s="602" t="str">
        <f t="shared" si="15"/>
        <v/>
      </c>
      <c r="AA31" s="603" t="s">
        <v>257</v>
      </c>
      <c r="AB31" s="604" t="str">
        <f t="shared" si="16"/>
        <v/>
      </c>
      <c r="AC31" s="605" t="str">
        <f>IFERROR(ROUNDDOWN(ROUNDDOWN(ROUND(L31*VLOOKUP(K31,【参考】数式用!$A$2:$M$57,MATCH("処遇改善加算Ⅳ",【参考】数式用!$G$3:$M$3,0)+6,0),0)*M31,0)*Z31*0.5,0), "")</f>
        <v/>
      </c>
      <c r="AD31" s="245"/>
      <c r="AE31" s="246"/>
      <c r="AF31" s="246"/>
      <c r="AG31" s="247"/>
      <c r="AH31" s="248"/>
      <c r="AI31" s="249"/>
      <c r="AJ31" s="250"/>
      <c r="AK31" s="606" t="str">
        <f t="shared" si="17"/>
        <v/>
      </c>
      <c r="AL31" s="607" t="str">
        <f t="shared" si="0"/>
        <v/>
      </c>
      <c r="AM31" s="608"/>
      <c r="AN31" s="609" t="str">
        <f>IFERROR(VLOOKUP(K31,【参考】数式用!$A$2:$N$57,14,FALSE),"")</f>
        <v/>
      </c>
      <c r="AO31" s="609" t="str">
        <f t="shared" si="1"/>
        <v/>
      </c>
      <c r="AP31" s="610" t="str">
        <f t="shared" si="18"/>
        <v/>
      </c>
      <c r="AQ31" s="610" t="str">
        <f t="shared" si="19"/>
        <v>キャリアパス要件Ⅰ・Ⅱ_</v>
      </c>
      <c r="AR31" s="611" t="str">
        <f t="shared" si="20"/>
        <v>入力済</v>
      </c>
      <c r="AS31" s="609" t="str">
        <f t="shared" si="2"/>
        <v/>
      </c>
      <c r="AT31" s="611" t="str">
        <f t="shared" si="3"/>
        <v>入力済</v>
      </c>
      <c r="AU31" s="611" t="str">
        <f t="shared" si="4"/>
        <v/>
      </c>
      <c r="AV31" s="611" t="str">
        <f t="shared" si="5"/>
        <v/>
      </c>
      <c r="AW31" s="609" t="str">
        <f t="shared" si="6"/>
        <v/>
      </c>
      <c r="AX31" s="609" t="str">
        <f t="shared" si="7"/>
        <v>入力済</v>
      </c>
      <c r="AY31" s="611" t="str">
        <f>IFERROR(VLOOKUP(K31,【参考】数式用!$AR$3:$AS$49, 2, FALSE), "")</f>
        <v/>
      </c>
      <c r="AZ31" s="609" t="str">
        <f t="shared" si="8"/>
        <v/>
      </c>
      <c r="BA31" s="612" t="str">
        <f t="shared" si="21"/>
        <v>入力済</v>
      </c>
      <c r="BB31" s="611" t="str">
        <f>IFERROR(VLOOKUP(K31,【参考】数式用!$AX$3:$AY$59, 2, FALSE), "")</f>
        <v/>
      </c>
      <c r="BC31" s="609" t="str">
        <f t="shared" si="9"/>
        <v/>
      </c>
      <c r="BD31" s="612" t="str">
        <f t="shared" si="22"/>
        <v>入力済</v>
      </c>
      <c r="BE31" s="612" t="str">
        <f t="shared" si="10"/>
        <v/>
      </c>
      <c r="BF31" s="612" t="str">
        <f t="shared" si="11"/>
        <v/>
      </c>
      <c r="BG31" s="612" t="str">
        <f t="shared" si="12"/>
        <v/>
      </c>
      <c r="BH31" s="612" t="str">
        <f t="shared" si="13"/>
        <v/>
      </c>
      <c r="BI31" s="612" t="str">
        <f t="shared" si="14"/>
        <v/>
      </c>
      <c r="BJ31" s="51"/>
      <c r="BK31" s="51"/>
      <c r="BL31" s="51"/>
      <c r="BM31" s="51"/>
      <c r="BN31" s="51"/>
      <c r="BO31" s="51"/>
      <c r="BP31" s="51"/>
    </row>
    <row r="32" spans="1:68" s="181" customFormat="1" ht="109.9" customHeight="1" thickBot="1">
      <c r="A32" s="599">
        <v>21</v>
      </c>
      <c r="B32" s="913" t="str">
        <f>IF(基本情報入力シート!B60="","",基本情報入力シート!B60)</f>
        <v/>
      </c>
      <c r="C32" s="914"/>
      <c r="D32" s="914"/>
      <c r="E32" s="914"/>
      <c r="F32" s="915"/>
      <c r="G32" s="600" t="str">
        <f>IF(基本情報入力シート!L60="", "", 基本情報入力シート!L60)</f>
        <v/>
      </c>
      <c r="H32" s="600" t="str">
        <f>IF(基本情報入力シート!Q60="", "", 基本情報入力シート!Q60)</f>
        <v/>
      </c>
      <c r="I32" s="600" t="str">
        <f>IF(基本情報入力シート!V60="", "", 基本情報入力シート!V60)</f>
        <v/>
      </c>
      <c r="J32" s="600" t="str">
        <f>IF(基本情報入力シート!W60="", "", 基本情報入力シート!W60)</f>
        <v/>
      </c>
      <c r="K32" s="600"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01" t="s">
        <v>170</v>
      </c>
      <c r="Q32" s="225"/>
      <c r="R32" s="602" t="s">
        <v>253</v>
      </c>
      <c r="S32" s="225"/>
      <c r="T32" s="602" t="s">
        <v>254</v>
      </c>
      <c r="U32" s="225"/>
      <c r="V32" s="602" t="s">
        <v>253</v>
      </c>
      <c r="W32" s="225"/>
      <c r="X32" s="602" t="s">
        <v>255</v>
      </c>
      <c r="Y32" s="602" t="s">
        <v>256</v>
      </c>
      <c r="Z32" s="602" t="str">
        <f t="shared" si="15"/>
        <v/>
      </c>
      <c r="AA32" s="603" t="s">
        <v>257</v>
      </c>
      <c r="AB32" s="604" t="str">
        <f t="shared" si="16"/>
        <v/>
      </c>
      <c r="AC32" s="605" t="str">
        <f>IFERROR(ROUNDDOWN(ROUNDDOWN(ROUND(L32*VLOOKUP(K32,【参考】数式用!$A$2:$M$57,MATCH("処遇改善加算Ⅳ",【参考】数式用!$G$3:$M$3,0)+6,0),0)*M32,0)*Z32*0.5,0), "")</f>
        <v/>
      </c>
      <c r="AD32" s="245"/>
      <c r="AE32" s="246"/>
      <c r="AF32" s="246"/>
      <c r="AG32" s="247"/>
      <c r="AH32" s="248"/>
      <c r="AI32" s="249"/>
      <c r="AJ32" s="250"/>
      <c r="AK32" s="606" t="str">
        <f t="shared" si="17"/>
        <v/>
      </c>
      <c r="AL32" s="607" t="str">
        <f t="shared" si="0"/>
        <v/>
      </c>
      <c r="AM32" s="608"/>
      <c r="AN32" s="609" t="str">
        <f>IFERROR(VLOOKUP(K32,【参考】数式用!$A$2:$N$57,14,FALSE),"")</f>
        <v/>
      </c>
      <c r="AO32" s="609" t="str">
        <f t="shared" si="1"/>
        <v/>
      </c>
      <c r="AP32" s="610" t="str">
        <f t="shared" si="18"/>
        <v/>
      </c>
      <c r="AQ32" s="610" t="str">
        <f t="shared" si="19"/>
        <v>キャリアパス要件Ⅰ・Ⅱ_</v>
      </c>
      <c r="AR32" s="611" t="str">
        <f t="shared" si="20"/>
        <v>入力済</v>
      </c>
      <c r="AS32" s="609" t="str">
        <f t="shared" si="2"/>
        <v/>
      </c>
      <c r="AT32" s="611" t="str">
        <f t="shared" si="3"/>
        <v>入力済</v>
      </c>
      <c r="AU32" s="611" t="str">
        <f t="shared" si="4"/>
        <v/>
      </c>
      <c r="AV32" s="611" t="str">
        <f t="shared" si="5"/>
        <v/>
      </c>
      <c r="AW32" s="609" t="str">
        <f t="shared" si="6"/>
        <v/>
      </c>
      <c r="AX32" s="609" t="str">
        <f t="shared" si="7"/>
        <v>入力済</v>
      </c>
      <c r="AY32" s="611" t="str">
        <f>IFERROR(VLOOKUP(K32,【参考】数式用!$AR$3:$AS$49, 2, FALSE), "")</f>
        <v/>
      </c>
      <c r="AZ32" s="609" t="str">
        <f t="shared" si="8"/>
        <v/>
      </c>
      <c r="BA32" s="612" t="str">
        <f t="shared" si="21"/>
        <v>入力済</v>
      </c>
      <c r="BB32" s="611" t="str">
        <f>IFERROR(VLOOKUP(K32,【参考】数式用!$AX$3:$AY$59, 2, FALSE), "")</f>
        <v/>
      </c>
      <c r="BC32" s="609" t="str">
        <f t="shared" si="9"/>
        <v/>
      </c>
      <c r="BD32" s="612" t="str">
        <f t="shared" si="22"/>
        <v>入力済</v>
      </c>
      <c r="BE32" s="612" t="str">
        <f t="shared" si="10"/>
        <v/>
      </c>
      <c r="BF32" s="612" t="str">
        <f t="shared" si="11"/>
        <v/>
      </c>
      <c r="BG32" s="612" t="str">
        <f t="shared" si="12"/>
        <v/>
      </c>
      <c r="BH32" s="612" t="str">
        <f t="shared" si="13"/>
        <v/>
      </c>
      <c r="BI32" s="612" t="str">
        <f t="shared" si="14"/>
        <v/>
      </c>
      <c r="BJ32" s="51"/>
      <c r="BK32" s="51"/>
      <c r="BL32" s="51"/>
      <c r="BM32" s="51"/>
      <c r="BN32" s="51"/>
      <c r="BO32" s="51"/>
      <c r="BP32" s="51"/>
    </row>
    <row r="33" spans="1:68" s="181" customFormat="1" ht="109.9" customHeight="1" thickBot="1">
      <c r="A33" s="599">
        <v>22</v>
      </c>
      <c r="B33" s="913" t="str">
        <f>IF(基本情報入力シート!B61="","",基本情報入力シート!B61)</f>
        <v/>
      </c>
      <c r="C33" s="914"/>
      <c r="D33" s="914"/>
      <c r="E33" s="914"/>
      <c r="F33" s="915"/>
      <c r="G33" s="600" t="str">
        <f>IF(基本情報入力シート!L61="", "", 基本情報入力シート!L61)</f>
        <v/>
      </c>
      <c r="H33" s="600" t="str">
        <f>IF(基本情報入力シート!Q61="", "", 基本情報入力シート!Q61)</f>
        <v/>
      </c>
      <c r="I33" s="600" t="str">
        <f>IF(基本情報入力シート!V61="", "", 基本情報入力シート!V61)</f>
        <v/>
      </c>
      <c r="J33" s="600" t="str">
        <f>IF(基本情報入力シート!W61="", "", 基本情報入力シート!W61)</f>
        <v/>
      </c>
      <c r="K33" s="600"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01" t="s">
        <v>170</v>
      </c>
      <c r="Q33" s="225"/>
      <c r="R33" s="602" t="s">
        <v>253</v>
      </c>
      <c r="S33" s="225"/>
      <c r="T33" s="602" t="s">
        <v>254</v>
      </c>
      <c r="U33" s="225"/>
      <c r="V33" s="602" t="s">
        <v>253</v>
      </c>
      <c r="W33" s="225"/>
      <c r="X33" s="602" t="s">
        <v>255</v>
      </c>
      <c r="Y33" s="602" t="s">
        <v>256</v>
      </c>
      <c r="Z33" s="602" t="str">
        <f t="shared" si="15"/>
        <v/>
      </c>
      <c r="AA33" s="603" t="s">
        <v>257</v>
      </c>
      <c r="AB33" s="604" t="str">
        <f t="shared" si="16"/>
        <v/>
      </c>
      <c r="AC33" s="605" t="str">
        <f>IFERROR(ROUNDDOWN(ROUNDDOWN(ROUND(L33*VLOOKUP(K33,【参考】数式用!$A$2:$M$57,MATCH("処遇改善加算Ⅳ",【参考】数式用!$G$3:$M$3,0)+6,0),0)*M33,0)*Z33*0.5,0), "")</f>
        <v/>
      </c>
      <c r="AD33" s="245"/>
      <c r="AE33" s="246"/>
      <c r="AF33" s="246"/>
      <c r="AG33" s="247"/>
      <c r="AH33" s="248"/>
      <c r="AI33" s="249"/>
      <c r="AJ33" s="250"/>
      <c r="AK33" s="606" t="str">
        <f t="shared" si="17"/>
        <v/>
      </c>
      <c r="AL33" s="607" t="str">
        <f t="shared" si="0"/>
        <v/>
      </c>
      <c r="AM33" s="608"/>
      <c r="AN33" s="609" t="str">
        <f>IFERROR(VLOOKUP(K33,【参考】数式用!$A$2:$N$57,14,FALSE),"")</f>
        <v/>
      </c>
      <c r="AO33" s="609" t="str">
        <f t="shared" si="1"/>
        <v/>
      </c>
      <c r="AP33" s="610" t="str">
        <f t="shared" si="18"/>
        <v/>
      </c>
      <c r="AQ33" s="610" t="str">
        <f t="shared" si="19"/>
        <v>キャリアパス要件Ⅰ・Ⅱ_</v>
      </c>
      <c r="AR33" s="611" t="str">
        <f t="shared" si="20"/>
        <v>入力済</v>
      </c>
      <c r="AS33" s="609" t="str">
        <f t="shared" si="2"/>
        <v/>
      </c>
      <c r="AT33" s="611" t="str">
        <f t="shared" si="3"/>
        <v>入力済</v>
      </c>
      <c r="AU33" s="611" t="str">
        <f t="shared" si="4"/>
        <v/>
      </c>
      <c r="AV33" s="611" t="str">
        <f t="shared" si="5"/>
        <v/>
      </c>
      <c r="AW33" s="609" t="str">
        <f t="shared" si="6"/>
        <v/>
      </c>
      <c r="AX33" s="609" t="str">
        <f t="shared" si="7"/>
        <v>入力済</v>
      </c>
      <c r="AY33" s="611" t="str">
        <f>IFERROR(VLOOKUP(K33,【参考】数式用!$AR$3:$AS$49, 2, FALSE), "")</f>
        <v/>
      </c>
      <c r="AZ33" s="609" t="str">
        <f t="shared" si="8"/>
        <v/>
      </c>
      <c r="BA33" s="612" t="str">
        <f t="shared" si="21"/>
        <v>入力済</v>
      </c>
      <c r="BB33" s="611" t="str">
        <f>IFERROR(VLOOKUP(K33,【参考】数式用!$AX$3:$AY$59, 2, FALSE), "")</f>
        <v/>
      </c>
      <c r="BC33" s="609" t="str">
        <f t="shared" si="9"/>
        <v/>
      </c>
      <c r="BD33" s="612" t="str">
        <f t="shared" si="22"/>
        <v>入力済</v>
      </c>
      <c r="BE33" s="612" t="str">
        <f t="shared" si="10"/>
        <v/>
      </c>
      <c r="BF33" s="612" t="str">
        <f t="shared" si="11"/>
        <v/>
      </c>
      <c r="BG33" s="612" t="str">
        <f t="shared" si="12"/>
        <v/>
      </c>
      <c r="BH33" s="612" t="str">
        <f t="shared" si="13"/>
        <v/>
      </c>
      <c r="BI33" s="612" t="str">
        <f t="shared" si="14"/>
        <v/>
      </c>
      <c r="BJ33" s="51"/>
      <c r="BK33" s="51"/>
      <c r="BL33" s="51"/>
      <c r="BM33" s="51"/>
      <c r="BN33" s="51"/>
      <c r="BO33" s="51"/>
      <c r="BP33" s="51"/>
    </row>
    <row r="34" spans="1:68" s="181" customFormat="1" ht="109.9" customHeight="1" thickBot="1">
      <c r="A34" s="599">
        <v>23</v>
      </c>
      <c r="B34" s="913" t="str">
        <f>IF(基本情報入力シート!B62="","",基本情報入力シート!B62)</f>
        <v/>
      </c>
      <c r="C34" s="914"/>
      <c r="D34" s="914"/>
      <c r="E34" s="914"/>
      <c r="F34" s="915"/>
      <c r="G34" s="600" t="str">
        <f>IF(基本情報入力シート!L62="", "", 基本情報入力シート!L62)</f>
        <v/>
      </c>
      <c r="H34" s="600" t="str">
        <f>IF(基本情報入力シート!Q62="", "", 基本情報入力シート!Q62)</f>
        <v/>
      </c>
      <c r="I34" s="600" t="str">
        <f>IF(基本情報入力シート!V62="", "", 基本情報入力シート!V62)</f>
        <v/>
      </c>
      <c r="J34" s="600" t="str">
        <f>IF(基本情報入力シート!W62="", "", 基本情報入力シート!W62)</f>
        <v/>
      </c>
      <c r="K34" s="600"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01" t="s">
        <v>170</v>
      </c>
      <c r="Q34" s="225"/>
      <c r="R34" s="602" t="s">
        <v>253</v>
      </c>
      <c r="S34" s="225"/>
      <c r="T34" s="602" t="s">
        <v>254</v>
      </c>
      <c r="U34" s="225"/>
      <c r="V34" s="602" t="s">
        <v>253</v>
      </c>
      <c r="W34" s="225"/>
      <c r="X34" s="602" t="s">
        <v>172</v>
      </c>
      <c r="Y34" s="602" t="s">
        <v>256</v>
      </c>
      <c r="Z34" s="602" t="str">
        <f t="shared" si="15"/>
        <v/>
      </c>
      <c r="AA34" s="603" t="s">
        <v>257</v>
      </c>
      <c r="AB34" s="604" t="str">
        <f t="shared" si="16"/>
        <v/>
      </c>
      <c r="AC34" s="605" t="str">
        <f>IFERROR(ROUNDDOWN(ROUNDDOWN(ROUND(L34*VLOOKUP(K34,【参考】数式用!$A$2:$M$57,MATCH("処遇改善加算Ⅳ",【参考】数式用!$G$3:$M$3,0)+6,0),0)*M34,0)*Z34*0.5,0), "")</f>
        <v/>
      </c>
      <c r="AD34" s="245"/>
      <c r="AE34" s="246"/>
      <c r="AF34" s="246"/>
      <c r="AG34" s="247"/>
      <c r="AH34" s="248"/>
      <c r="AI34" s="249"/>
      <c r="AJ34" s="250"/>
      <c r="AK34" s="606" t="str">
        <f t="shared" si="17"/>
        <v/>
      </c>
      <c r="AL34" s="607" t="str">
        <f t="shared" si="0"/>
        <v/>
      </c>
      <c r="AM34" s="608"/>
      <c r="AN34" s="609" t="str">
        <f>IFERROR(VLOOKUP(K34,【参考】数式用!$A$2:$N$57,14,FALSE),"")</f>
        <v/>
      </c>
      <c r="AO34" s="609" t="str">
        <f t="shared" si="1"/>
        <v/>
      </c>
      <c r="AP34" s="610" t="str">
        <f t="shared" si="18"/>
        <v/>
      </c>
      <c r="AQ34" s="610" t="str">
        <f t="shared" si="19"/>
        <v>キャリアパス要件Ⅰ・Ⅱ_</v>
      </c>
      <c r="AR34" s="611" t="str">
        <f t="shared" si="20"/>
        <v>入力済</v>
      </c>
      <c r="AS34" s="609" t="str">
        <f t="shared" si="2"/>
        <v/>
      </c>
      <c r="AT34" s="611" t="str">
        <f t="shared" si="3"/>
        <v>入力済</v>
      </c>
      <c r="AU34" s="611" t="str">
        <f t="shared" si="4"/>
        <v/>
      </c>
      <c r="AV34" s="611" t="str">
        <f t="shared" si="5"/>
        <v/>
      </c>
      <c r="AW34" s="609" t="str">
        <f t="shared" si="6"/>
        <v/>
      </c>
      <c r="AX34" s="609" t="str">
        <f t="shared" si="7"/>
        <v>入力済</v>
      </c>
      <c r="AY34" s="611" t="str">
        <f>IFERROR(VLOOKUP(K34,【参考】数式用!$AR$3:$AS$49, 2, FALSE), "")</f>
        <v/>
      </c>
      <c r="AZ34" s="609" t="str">
        <f t="shared" si="8"/>
        <v/>
      </c>
      <c r="BA34" s="612" t="str">
        <f t="shared" si="21"/>
        <v>入力済</v>
      </c>
      <c r="BB34" s="611" t="str">
        <f>IFERROR(VLOOKUP(K34,【参考】数式用!$AX$3:$AY$59, 2, FALSE), "")</f>
        <v/>
      </c>
      <c r="BC34" s="609" t="str">
        <f t="shared" si="9"/>
        <v/>
      </c>
      <c r="BD34" s="612" t="str">
        <f t="shared" si="22"/>
        <v>入力済</v>
      </c>
      <c r="BE34" s="612" t="str">
        <f t="shared" si="10"/>
        <v/>
      </c>
      <c r="BF34" s="612" t="str">
        <f t="shared" si="11"/>
        <v/>
      </c>
      <c r="BG34" s="612" t="str">
        <f t="shared" si="12"/>
        <v/>
      </c>
      <c r="BH34" s="612" t="str">
        <f t="shared" si="13"/>
        <v/>
      </c>
      <c r="BI34" s="612" t="str">
        <f t="shared" si="14"/>
        <v/>
      </c>
      <c r="BJ34" s="51"/>
      <c r="BK34" s="51"/>
      <c r="BL34" s="51"/>
      <c r="BM34" s="51"/>
      <c r="BN34" s="51"/>
      <c r="BO34" s="51"/>
      <c r="BP34" s="51"/>
    </row>
    <row r="35" spans="1:68" s="181" customFormat="1" ht="109.9" customHeight="1" thickBot="1">
      <c r="A35" s="599">
        <v>24</v>
      </c>
      <c r="B35" s="913" t="str">
        <f>IF(基本情報入力シート!B63="","",基本情報入力シート!B63)</f>
        <v/>
      </c>
      <c r="C35" s="914"/>
      <c r="D35" s="914"/>
      <c r="E35" s="914"/>
      <c r="F35" s="915"/>
      <c r="G35" s="600" t="str">
        <f>IF(基本情報入力シート!L63="", "", 基本情報入力シート!L63)</f>
        <v/>
      </c>
      <c r="H35" s="600" t="str">
        <f>IF(基本情報入力シート!Q63="", "", 基本情報入力シート!Q63)</f>
        <v/>
      </c>
      <c r="I35" s="600" t="str">
        <f>IF(基本情報入力シート!V63="", "", 基本情報入力シート!V63)</f>
        <v/>
      </c>
      <c r="J35" s="600" t="str">
        <f>IF(基本情報入力シート!W63="", "", 基本情報入力シート!W63)</f>
        <v/>
      </c>
      <c r="K35" s="600"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01" t="s">
        <v>170</v>
      </c>
      <c r="Q35" s="225"/>
      <c r="R35" s="602" t="s">
        <v>253</v>
      </c>
      <c r="S35" s="225"/>
      <c r="T35" s="602" t="s">
        <v>254</v>
      </c>
      <c r="U35" s="225"/>
      <c r="V35" s="602" t="s">
        <v>253</v>
      </c>
      <c r="W35" s="225"/>
      <c r="X35" s="602" t="s">
        <v>172</v>
      </c>
      <c r="Y35" s="602" t="s">
        <v>256</v>
      </c>
      <c r="Z35" s="602" t="str">
        <f t="shared" si="15"/>
        <v/>
      </c>
      <c r="AA35" s="603" t="s">
        <v>257</v>
      </c>
      <c r="AB35" s="604" t="str">
        <f t="shared" si="16"/>
        <v/>
      </c>
      <c r="AC35" s="605" t="str">
        <f>IFERROR(ROUNDDOWN(ROUNDDOWN(ROUND(L35*VLOOKUP(K35,【参考】数式用!$A$2:$M$57,MATCH("処遇改善加算Ⅳ",【参考】数式用!$G$3:$M$3,0)+6,0),0)*M35,0)*Z35*0.5,0), "")</f>
        <v/>
      </c>
      <c r="AD35" s="245"/>
      <c r="AE35" s="246"/>
      <c r="AF35" s="246"/>
      <c r="AG35" s="247"/>
      <c r="AH35" s="248"/>
      <c r="AI35" s="249"/>
      <c r="AJ35" s="250"/>
      <c r="AK35" s="606" t="str">
        <f t="shared" si="17"/>
        <v/>
      </c>
      <c r="AL35" s="607" t="str">
        <f t="shared" si="0"/>
        <v/>
      </c>
      <c r="AM35" s="608"/>
      <c r="AN35" s="609" t="str">
        <f>IFERROR(VLOOKUP(K35,【参考】数式用!$A$2:$N$57,14,FALSE),"")</f>
        <v/>
      </c>
      <c r="AO35" s="609" t="str">
        <f t="shared" si="1"/>
        <v/>
      </c>
      <c r="AP35" s="610" t="str">
        <f t="shared" si="18"/>
        <v/>
      </c>
      <c r="AQ35" s="610" t="str">
        <f t="shared" si="19"/>
        <v>キャリアパス要件Ⅰ・Ⅱ_</v>
      </c>
      <c r="AR35" s="611" t="str">
        <f t="shared" si="20"/>
        <v>入力済</v>
      </c>
      <c r="AS35" s="609" t="str">
        <f t="shared" si="2"/>
        <v/>
      </c>
      <c r="AT35" s="611" t="str">
        <f t="shared" si="3"/>
        <v>入力済</v>
      </c>
      <c r="AU35" s="611" t="str">
        <f t="shared" si="4"/>
        <v/>
      </c>
      <c r="AV35" s="611" t="str">
        <f t="shared" si="5"/>
        <v/>
      </c>
      <c r="AW35" s="609" t="str">
        <f t="shared" si="6"/>
        <v/>
      </c>
      <c r="AX35" s="609" t="str">
        <f t="shared" si="7"/>
        <v>入力済</v>
      </c>
      <c r="AY35" s="611" t="str">
        <f>IFERROR(VLOOKUP(K35,【参考】数式用!$AR$3:$AS$49, 2, FALSE), "")</f>
        <v/>
      </c>
      <c r="AZ35" s="609" t="str">
        <f t="shared" si="8"/>
        <v/>
      </c>
      <c r="BA35" s="612" t="str">
        <f t="shared" si="21"/>
        <v>入力済</v>
      </c>
      <c r="BB35" s="611" t="str">
        <f>IFERROR(VLOOKUP(K35,【参考】数式用!$AX$3:$AY$59, 2, FALSE), "")</f>
        <v/>
      </c>
      <c r="BC35" s="609" t="str">
        <f t="shared" si="9"/>
        <v/>
      </c>
      <c r="BD35" s="612" t="str">
        <f t="shared" si="22"/>
        <v>入力済</v>
      </c>
      <c r="BE35" s="612" t="str">
        <f t="shared" si="10"/>
        <v/>
      </c>
      <c r="BF35" s="612" t="str">
        <f t="shared" si="11"/>
        <v/>
      </c>
      <c r="BG35" s="612" t="str">
        <f t="shared" si="12"/>
        <v/>
      </c>
      <c r="BH35" s="612" t="str">
        <f t="shared" si="13"/>
        <v/>
      </c>
      <c r="BI35" s="612" t="str">
        <f t="shared" si="14"/>
        <v/>
      </c>
      <c r="BJ35" s="51"/>
      <c r="BK35" s="51"/>
      <c r="BL35" s="51"/>
      <c r="BM35" s="51"/>
      <c r="BN35" s="51"/>
      <c r="BO35" s="51"/>
      <c r="BP35" s="51"/>
    </row>
    <row r="36" spans="1:68" s="181" customFormat="1" ht="109.9" customHeight="1" thickBot="1">
      <c r="A36" s="599">
        <v>25</v>
      </c>
      <c r="B36" s="913" t="str">
        <f>IF(基本情報入力シート!B64="","",基本情報入力シート!B64)</f>
        <v/>
      </c>
      <c r="C36" s="914"/>
      <c r="D36" s="914"/>
      <c r="E36" s="914"/>
      <c r="F36" s="915"/>
      <c r="G36" s="600" t="str">
        <f>IF(基本情報入力シート!L64="", "", 基本情報入力シート!L64)</f>
        <v/>
      </c>
      <c r="H36" s="600" t="str">
        <f>IF(基本情報入力シート!Q64="", "", 基本情報入力シート!Q64)</f>
        <v/>
      </c>
      <c r="I36" s="600" t="str">
        <f>IF(基本情報入力シート!V64="", "", 基本情報入力シート!V64)</f>
        <v/>
      </c>
      <c r="J36" s="600" t="str">
        <f>IF(基本情報入力シート!W64="", "", 基本情報入力シート!W64)</f>
        <v/>
      </c>
      <c r="K36" s="600"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01" t="s">
        <v>170</v>
      </c>
      <c r="Q36" s="225"/>
      <c r="R36" s="602" t="s">
        <v>253</v>
      </c>
      <c r="S36" s="225"/>
      <c r="T36" s="602" t="s">
        <v>254</v>
      </c>
      <c r="U36" s="225"/>
      <c r="V36" s="602" t="s">
        <v>253</v>
      </c>
      <c r="W36" s="225"/>
      <c r="X36" s="602" t="s">
        <v>255</v>
      </c>
      <c r="Y36" s="602" t="s">
        <v>256</v>
      </c>
      <c r="Z36" s="602" t="str">
        <f t="shared" si="15"/>
        <v/>
      </c>
      <c r="AA36" s="603" t="s">
        <v>257</v>
      </c>
      <c r="AB36" s="604" t="str">
        <f t="shared" si="16"/>
        <v/>
      </c>
      <c r="AC36" s="605" t="str">
        <f>IFERROR(ROUNDDOWN(ROUNDDOWN(ROUND(L36*VLOOKUP(K36,【参考】数式用!$A$2:$M$57,MATCH("処遇改善加算Ⅳ",【参考】数式用!$G$3:$M$3,0)+6,0),0)*M36,0)*Z36*0.5,0), "")</f>
        <v/>
      </c>
      <c r="AD36" s="245"/>
      <c r="AE36" s="246"/>
      <c r="AF36" s="246"/>
      <c r="AG36" s="247"/>
      <c r="AH36" s="248"/>
      <c r="AI36" s="249"/>
      <c r="AJ36" s="250"/>
      <c r="AK36" s="606" t="str">
        <f t="shared" si="17"/>
        <v/>
      </c>
      <c r="AL36" s="607" t="str">
        <f t="shared" si="0"/>
        <v/>
      </c>
      <c r="AM36" s="608"/>
      <c r="AN36" s="609" t="str">
        <f>IFERROR(VLOOKUP(K36,【参考】数式用!$A$2:$N$57,14,FALSE),"")</f>
        <v/>
      </c>
      <c r="AO36" s="609" t="str">
        <f t="shared" si="1"/>
        <v/>
      </c>
      <c r="AP36" s="610" t="str">
        <f t="shared" si="18"/>
        <v/>
      </c>
      <c r="AQ36" s="610" t="str">
        <f t="shared" si="19"/>
        <v>キャリアパス要件Ⅰ・Ⅱ_</v>
      </c>
      <c r="AR36" s="611" t="str">
        <f t="shared" si="20"/>
        <v>入力済</v>
      </c>
      <c r="AS36" s="609" t="str">
        <f t="shared" si="2"/>
        <v/>
      </c>
      <c r="AT36" s="611" t="str">
        <f t="shared" si="3"/>
        <v>入力済</v>
      </c>
      <c r="AU36" s="611" t="str">
        <f t="shared" si="4"/>
        <v/>
      </c>
      <c r="AV36" s="611" t="str">
        <f t="shared" si="5"/>
        <v/>
      </c>
      <c r="AW36" s="609" t="str">
        <f t="shared" si="6"/>
        <v/>
      </c>
      <c r="AX36" s="609" t="str">
        <f t="shared" si="7"/>
        <v>入力済</v>
      </c>
      <c r="AY36" s="611" t="str">
        <f>IFERROR(VLOOKUP(K36,【参考】数式用!$AR$3:$AS$49, 2, FALSE), "")</f>
        <v/>
      </c>
      <c r="AZ36" s="609" t="str">
        <f t="shared" si="8"/>
        <v/>
      </c>
      <c r="BA36" s="612" t="str">
        <f t="shared" si="21"/>
        <v>入力済</v>
      </c>
      <c r="BB36" s="611" t="str">
        <f>IFERROR(VLOOKUP(K36,【参考】数式用!$AX$3:$AY$59, 2, FALSE), "")</f>
        <v/>
      </c>
      <c r="BC36" s="609" t="str">
        <f t="shared" si="9"/>
        <v/>
      </c>
      <c r="BD36" s="612" t="str">
        <f t="shared" si="22"/>
        <v>入力済</v>
      </c>
      <c r="BE36" s="612" t="str">
        <f t="shared" si="10"/>
        <v/>
      </c>
      <c r="BF36" s="612" t="str">
        <f t="shared" si="11"/>
        <v/>
      </c>
      <c r="BG36" s="612" t="str">
        <f t="shared" si="12"/>
        <v/>
      </c>
      <c r="BH36" s="612" t="str">
        <f t="shared" si="13"/>
        <v/>
      </c>
      <c r="BI36" s="612" t="str">
        <f t="shared" si="14"/>
        <v/>
      </c>
      <c r="BJ36" s="51"/>
      <c r="BK36" s="51"/>
      <c r="BL36" s="51"/>
      <c r="BM36" s="51"/>
      <c r="BN36" s="51"/>
      <c r="BO36" s="51"/>
      <c r="BP36" s="51"/>
    </row>
    <row r="37" spans="1:68" s="181" customFormat="1" ht="109.9" customHeight="1" thickBot="1">
      <c r="A37" s="599">
        <v>26</v>
      </c>
      <c r="B37" s="913" t="str">
        <f>IF(基本情報入力シート!B65="","",基本情報入力シート!B65)</f>
        <v/>
      </c>
      <c r="C37" s="914"/>
      <c r="D37" s="914"/>
      <c r="E37" s="914"/>
      <c r="F37" s="915"/>
      <c r="G37" s="600" t="str">
        <f>IF(基本情報入力シート!L65="", "", 基本情報入力シート!L65)</f>
        <v/>
      </c>
      <c r="H37" s="600" t="str">
        <f>IF(基本情報入力シート!Q65="", "", 基本情報入力シート!Q65)</f>
        <v/>
      </c>
      <c r="I37" s="600" t="str">
        <f>IF(基本情報入力シート!V65="", "", 基本情報入力シート!V65)</f>
        <v/>
      </c>
      <c r="J37" s="600" t="str">
        <f>IF(基本情報入力シート!W65="", "", 基本情報入力シート!W65)</f>
        <v/>
      </c>
      <c r="K37" s="600"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01" t="s">
        <v>170</v>
      </c>
      <c r="Q37" s="225"/>
      <c r="R37" s="602" t="s">
        <v>253</v>
      </c>
      <c r="S37" s="225"/>
      <c r="T37" s="602" t="s">
        <v>254</v>
      </c>
      <c r="U37" s="225"/>
      <c r="V37" s="602" t="s">
        <v>253</v>
      </c>
      <c r="W37" s="225"/>
      <c r="X37" s="602" t="s">
        <v>255</v>
      </c>
      <c r="Y37" s="602" t="s">
        <v>256</v>
      </c>
      <c r="Z37" s="602" t="str">
        <f t="shared" si="15"/>
        <v/>
      </c>
      <c r="AA37" s="603" t="s">
        <v>257</v>
      </c>
      <c r="AB37" s="604" t="str">
        <f t="shared" si="16"/>
        <v/>
      </c>
      <c r="AC37" s="605" t="str">
        <f>IFERROR(ROUNDDOWN(ROUNDDOWN(ROUND(L37*VLOOKUP(K37,【参考】数式用!$A$2:$M$57,MATCH("処遇改善加算Ⅳ",【参考】数式用!$G$3:$M$3,0)+6,0),0)*M37,0)*Z37*0.5,0), "")</f>
        <v/>
      </c>
      <c r="AD37" s="245"/>
      <c r="AE37" s="246"/>
      <c r="AF37" s="246"/>
      <c r="AG37" s="247"/>
      <c r="AH37" s="248"/>
      <c r="AI37" s="249"/>
      <c r="AJ37" s="250"/>
      <c r="AK37" s="606" t="str">
        <f t="shared" si="17"/>
        <v/>
      </c>
      <c r="AL37" s="607" t="str">
        <f t="shared" si="0"/>
        <v/>
      </c>
      <c r="AM37" s="608"/>
      <c r="AN37" s="609" t="str">
        <f>IFERROR(VLOOKUP(K37,【参考】数式用!$A$2:$N$57,14,FALSE),"")</f>
        <v/>
      </c>
      <c r="AO37" s="609" t="str">
        <f t="shared" si="1"/>
        <v/>
      </c>
      <c r="AP37" s="610" t="str">
        <f t="shared" si="18"/>
        <v/>
      </c>
      <c r="AQ37" s="610" t="str">
        <f t="shared" si="19"/>
        <v>キャリアパス要件Ⅰ・Ⅱ_</v>
      </c>
      <c r="AR37" s="611" t="str">
        <f t="shared" si="20"/>
        <v>入力済</v>
      </c>
      <c r="AS37" s="609" t="str">
        <f t="shared" si="2"/>
        <v/>
      </c>
      <c r="AT37" s="611" t="str">
        <f t="shared" si="3"/>
        <v>入力済</v>
      </c>
      <c r="AU37" s="611" t="str">
        <f t="shared" si="4"/>
        <v/>
      </c>
      <c r="AV37" s="611" t="str">
        <f t="shared" si="5"/>
        <v/>
      </c>
      <c r="AW37" s="609" t="str">
        <f t="shared" si="6"/>
        <v/>
      </c>
      <c r="AX37" s="609" t="str">
        <f t="shared" si="7"/>
        <v>入力済</v>
      </c>
      <c r="AY37" s="611" t="str">
        <f>IFERROR(VLOOKUP(K37,【参考】数式用!$AR$3:$AS$49, 2, FALSE), "")</f>
        <v/>
      </c>
      <c r="AZ37" s="609" t="str">
        <f t="shared" si="8"/>
        <v/>
      </c>
      <c r="BA37" s="612" t="str">
        <f t="shared" si="21"/>
        <v>入力済</v>
      </c>
      <c r="BB37" s="611" t="str">
        <f>IFERROR(VLOOKUP(K37,【参考】数式用!$AX$3:$AY$59, 2, FALSE), "")</f>
        <v/>
      </c>
      <c r="BC37" s="609" t="str">
        <f t="shared" si="9"/>
        <v/>
      </c>
      <c r="BD37" s="612" t="str">
        <f t="shared" si="22"/>
        <v>入力済</v>
      </c>
      <c r="BE37" s="612" t="str">
        <f t="shared" si="10"/>
        <v/>
      </c>
      <c r="BF37" s="612" t="str">
        <f t="shared" si="11"/>
        <v/>
      </c>
      <c r="BG37" s="612" t="str">
        <f t="shared" si="12"/>
        <v/>
      </c>
      <c r="BH37" s="612" t="str">
        <f t="shared" si="13"/>
        <v/>
      </c>
      <c r="BI37" s="612" t="str">
        <f t="shared" si="14"/>
        <v/>
      </c>
      <c r="BJ37" s="51"/>
      <c r="BK37" s="51"/>
      <c r="BL37" s="51"/>
      <c r="BM37" s="51"/>
      <c r="BN37" s="51"/>
      <c r="BO37" s="51"/>
      <c r="BP37" s="51"/>
    </row>
    <row r="38" spans="1:68" s="181" customFormat="1" ht="109.9" customHeight="1" thickBot="1">
      <c r="A38" s="599">
        <v>27</v>
      </c>
      <c r="B38" s="913" t="str">
        <f>IF(基本情報入力シート!B66="","",基本情報入力シート!B66)</f>
        <v/>
      </c>
      <c r="C38" s="914"/>
      <c r="D38" s="914"/>
      <c r="E38" s="914"/>
      <c r="F38" s="915"/>
      <c r="G38" s="600" t="str">
        <f>IF(基本情報入力シート!L66="", "", 基本情報入力シート!L66)</f>
        <v/>
      </c>
      <c r="H38" s="600" t="str">
        <f>IF(基本情報入力シート!Q66="", "", 基本情報入力シート!Q66)</f>
        <v/>
      </c>
      <c r="I38" s="600" t="str">
        <f>IF(基本情報入力シート!V66="", "", 基本情報入力シート!V66)</f>
        <v/>
      </c>
      <c r="J38" s="600" t="str">
        <f>IF(基本情報入力シート!W66="", "", 基本情報入力シート!W66)</f>
        <v/>
      </c>
      <c r="K38" s="600"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01" t="s">
        <v>170</v>
      </c>
      <c r="Q38" s="225"/>
      <c r="R38" s="602" t="s">
        <v>253</v>
      </c>
      <c r="S38" s="225"/>
      <c r="T38" s="602" t="s">
        <v>254</v>
      </c>
      <c r="U38" s="225"/>
      <c r="V38" s="602" t="s">
        <v>253</v>
      </c>
      <c r="W38" s="225"/>
      <c r="X38" s="602" t="s">
        <v>255</v>
      </c>
      <c r="Y38" s="602" t="s">
        <v>256</v>
      </c>
      <c r="Z38" s="602" t="str">
        <f t="shared" si="15"/>
        <v/>
      </c>
      <c r="AA38" s="603" t="s">
        <v>257</v>
      </c>
      <c r="AB38" s="604" t="str">
        <f t="shared" si="16"/>
        <v/>
      </c>
      <c r="AC38" s="605" t="str">
        <f>IFERROR(ROUNDDOWN(ROUNDDOWN(ROUND(L38*VLOOKUP(K38,【参考】数式用!$A$2:$M$57,MATCH("処遇改善加算Ⅳ",【参考】数式用!$G$3:$M$3,0)+6,0),0)*M38,0)*Z38*0.5,0), "")</f>
        <v/>
      </c>
      <c r="AD38" s="245"/>
      <c r="AE38" s="246"/>
      <c r="AF38" s="246"/>
      <c r="AG38" s="247"/>
      <c r="AH38" s="248"/>
      <c r="AI38" s="249"/>
      <c r="AJ38" s="250"/>
      <c r="AK38" s="606" t="str">
        <f t="shared" si="17"/>
        <v/>
      </c>
      <c r="AL38" s="607" t="str">
        <f t="shared" si="0"/>
        <v/>
      </c>
      <c r="AM38" s="608"/>
      <c r="AN38" s="609" t="str">
        <f>IFERROR(VLOOKUP(K38,【参考】数式用!$A$2:$N$57,14,FALSE),"")</f>
        <v/>
      </c>
      <c r="AO38" s="609" t="str">
        <f t="shared" si="1"/>
        <v/>
      </c>
      <c r="AP38" s="610" t="str">
        <f t="shared" si="18"/>
        <v/>
      </c>
      <c r="AQ38" s="610" t="str">
        <f t="shared" si="19"/>
        <v>キャリアパス要件Ⅰ・Ⅱ_</v>
      </c>
      <c r="AR38" s="611" t="str">
        <f t="shared" si="20"/>
        <v>入力済</v>
      </c>
      <c r="AS38" s="609" t="str">
        <f t="shared" si="2"/>
        <v/>
      </c>
      <c r="AT38" s="611" t="str">
        <f t="shared" si="3"/>
        <v>入力済</v>
      </c>
      <c r="AU38" s="611" t="str">
        <f t="shared" si="4"/>
        <v/>
      </c>
      <c r="AV38" s="611" t="str">
        <f t="shared" si="5"/>
        <v/>
      </c>
      <c r="AW38" s="609" t="str">
        <f t="shared" si="6"/>
        <v/>
      </c>
      <c r="AX38" s="609" t="str">
        <f t="shared" si="7"/>
        <v>入力済</v>
      </c>
      <c r="AY38" s="611" t="str">
        <f>IFERROR(VLOOKUP(K38,【参考】数式用!$AR$3:$AS$49, 2, FALSE), "")</f>
        <v/>
      </c>
      <c r="AZ38" s="609" t="str">
        <f t="shared" si="8"/>
        <v/>
      </c>
      <c r="BA38" s="612" t="str">
        <f t="shared" si="21"/>
        <v>入力済</v>
      </c>
      <c r="BB38" s="611" t="str">
        <f>IFERROR(VLOOKUP(K38,【参考】数式用!$AX$3:$AY$59, 2, FALSE), "")</f>
        <v/>
      </c>
      <c r="BC38" s="609" t="str">
        <f t="shared" si="9"/>
        <v/>
      </c>
      <c r="BD38" s="612" t="str">
        <f t="shared" si="22"/>
        <v>入力済</v>
      </c>
      <c r="BE38" s="612" t="str">
        <f t="shared" si="10"/>
        <v/>
      </c>
      <c r="BF38" s="612" t="str">
        <f t="shared" si="11"/>
        <v/>
      </c>
      <c r="BG38" s="612" t="str">
        <f t="shared" si="12"/>
        <v/>
      </c>
      <c r="BH38" s="612" t="str">
        <f t="shared" si="13"/>
        <v/>
      </c>
      <c r="BI38" s="612" t="str">
        <f t="shared" si="14"/>
        <v/>
      </c>
      <c r="BJ38" s="51"/>
      <c r="BK38" s="51"/>
      <c r="BL38" s="51"/>
      <c r="BM38" s="51"/>
      <c r="BN38" s="51"/>
      <c r="BO38" s="51"/>
      <c r="BP38" s="51"/>
    </row>
    <row r="39" spans="1:68" s="181" customFormat="1" ht="109.9" customHeight="1" thickBot="1">
      <c r="A39" s="599">
        <v>28</v>
      </c>
      <c r="B39" s="913" t="str">
        <f>IF(基本情報入力シート!B67="","",基本情報入力シート!B67)</f>
        <v/>
      </c>
      <c r="C39" s="914"/>
      <c r="D39" s="914"/>
      <c r="E39" s="914"/>
      <c r="F39" s="915"/>
      <c r="G39" s="600" t="str">
        <f>IF(基本情報入力シート!L67="", "", 基本情報入力シート!L67)</f>
        <v/>
      </c>
      <c r="H39" s="600" t="str">
        <f>IF(基本情報入力シート!Q67="", "", 基本情報入力シート!Q67)</f>
        <v/>
      </c>
      <c r="I39" s="600" t="str">
        <f>IF(基本情報入力シート!V67="", "", 基本情報入力シート!V67)</f>
        <v/>
      </c>
      <c r="J39" s="600" t="str">
        <f>IF(基本情報入力シート!W67="", "", 基本情報入力シート!W67)</f>
        <v/>
      </c>
      <c r="K39" s="600"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01" t="s">
        <v>170</v>
      </c>
      <c r="Q39" s="225"/>
      <c r="R39" s="602" t="s">
        <v>253</v>
      </c>
      <c r="S39" s="225"/>
      <c r="T39" s="602" t="s">
        <v>254</v>
      </c>
      <c r="U39" s="225"/>
      <c r="V39" s="602" t="s">
        <v>253</v>
      </c>
      <c r="W39" s="225"/>
      <c r="X39" s="602" t="s">
        <v>172</v>
      </c>
      <c r="Y39" s="602" t="s">
        <v>256</v>
      </c>
      <c r="Z39" s="602" t="str">
        <f t="shared" si="15"/>
        <v/>
      </c>
      <c r="AA39" s="603" t="s">
        <v>257</v>
      </c>
      <c r="AB39" s="604" t="str">
        <f t="shared" si="16"/>
        <v/>
      </c>
      <c r="AC39" s="605" t="str">
        <f>IFERROR(ROUNDDOWN(ROUNDDOWN(ROUND(L39*VLOOKUP(K39,【参考】数式用!$A$2:$M$57,MATCH("処遇改善加算Ⅳ",【参考】数式用!$G$3:$M$3,0)+6,0),0)*M39,0)*Z39*0.5,0), "")</f>
        <v/>
      </c>
      <c r="AD39" s="245"/>
      <c r="AE39" s="246"/>
      <c r="AF39" s="246"/>
      <c r="AG39" s="247"/>
      <c r="AH39" s="248"/>
      <c r="AI39" s="249"/>
      <c r="AJ39" s="250"/>
      <c r="AK39" s="606" t="str">
        <f t="shared" si="17"/>
        <v/>
      </c>
      <c r="AL39" s="607" t="str">
        <f t="shared" si="0"/>
        <v/>
      </c>
      <c r="AM39" s="608"/>
      <c r="AN39" s="609" t="str">
        <f>IFERROR(VLOOKUP(K39,【参考】数式用!$A$2:$N$57,14,FALSE),"")</f>
        <v/>
      </c>
      <c r="AO39" s="609" t="str">
        <f t="shared" si="1"/>
        <v/>
      </c>
      <c r="AP39" s="610" t="str">
        <f t="shared" si="18"/>
        <v/>
      </c>
      <c r="AQ39" s="610" t="str">
        <f t="shared" si="19"/>
        <v>キャリアパス要件Ⅰ・Ⅱ_</v>
      </c>
      <c r="AR39" s="611" t="str">
        <f t="shared" si="20"/>
        <v>入力済</v>
      </c>
      <c r="AS39" s="609" t="str">
        <f t="shared" si="2"/>
        <v/>
      </c>
      <c r="AT39" s="611" t="str">
        <f t="shared" si="3"/>
        <v>入力済</v>
      </c>
      <c r="AU39" s="611" t="str">
        <f t="shared" si="4"/>
        <v/>
      </c>
      <c r="AV39" s="611" t="str">
        <f t="shared" si="5"/>
        <v/>
      </c>
      <c r="AW39" s="609" t="str">
        <f t="shared" si="6"/>
        <v/>
      </c>
      <c r="AX39" s="609" t="str">
        <f t="shared" si="7"/>
        <v>入力済</v>
      </c>
      <c r="AY39" s="611" t="str">
        <f>IFERROR(VLOOKUP(K39,【参考】数式用!$AR$3:$AS$49, 2, FALSE), "")</f>
        <v/>
      </c>
      <c r="AZ39" s="609" t="str">
        <f t="shared" si="8"/>
        <v/>
      </c>
      <c r="BA39" s="612" t="str">
        <f t="shared" si="21"/>
        <v>入力済</v>
      </c>
      <c r="BB39" s="611" t="str">
        <f>IFERROR(VLOOKUP(K39,【参考】数式用!$AX$3:$AY$59, 2, FALSE), "")</f>
        <v/>
      </c>
      <c r="BC39" s="609" t="str">
        <f t="shared" si="9"/>
        <v/>
      </c>
      <c r="BD39" s="612" t="str">
        <f t="shared" si="22"/>
        <v>入力済</v>
      </c>
      <c r="BE39" s="612" t="str">
        <f t="shared" si="10"/>
        <v/>
      </c>
      <c r="BF39" s="612" t="str">
        <f t="shared" si="11"/>
        <v/>
      </c>
      <c r="BG39" s="612" t="str">
        <f t="shared" si="12"/>
        <v/>
      </c>
      <c r="BH39" s="612" t="str">
        <f t="shared" si="13"/>
        <v/>
      </c>
      <c r="BI39" s="612" t="str">
        <f t="shared" si="14"/>
        <v/>
      </c>
      <c r="BJ39" s="51"/>
      <c r="BK39" s="51"/>
      <c r="BL39" s="51"/>
      <c r="BM39" s="51"/>
      <c r="BN39" s="51"/>
      <c r="BO39" s="51"/>
      <c r="BP39" s="51"/>
    </row>
    <row r="40" spans="1:68" s="181" customFormat="1" ht="109.9" customHeight="1" thickBot="1">
      <c r="A40" s="599">
        <v>29</v>
      </c>
      <c r="B40" s="913" t="str">
        <f>IF(基本情報入力シート!B68="","",基本情報入力シート!B68)</f>
        <v/>
      </c>
      <c r="C40" s="914"/>
      <c r="D40" s="914"/>
      <c r="E40" s="914"/>
      <c r="F40" s="915"/>
      <c r="G40" s="600" t="str">
        <f>IF(基本情報入力シート!L68="", "", 基本情報入力シート!L68)</f>
        <v/>
      </c>
      <c r="H40" s="600" t="str">
        <f>IF(基本情報入力シート!Q68="", "", 基本情報入力シート!Q68)</f>
        <v/>
      </c>
      <c r="I40" s="600" t="str">
        <f>IF(基本情報入力シート!V68="", "", 基本情報入力シート!V68)</f>
        <v/>
      </c>
      <c r="J40" s="600" t="str">
        <f>IF(基本情報入力シート!W68="", "", 基本情報入力シート!W68)</f>
        <v/>
      </c>
      <c r="K40" s="600"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01" t="s">
        <v>170</v>
      </c>
      <c r="Q40" s="225"/>
      <c r="R40" s="602" t="s">
        <v>253</v>
      </c>
      <c r="S40" s="225"/>
      <c r="T40" s="602" t="s">
        <v>254</v>
      </c>
      <c r="U40" s="225"/>
      <c r="V40" s="602" t="s">
        <v>253</v>
      </c>
      <c r="W40" s="225"/>
      <c r="X40" s="602" t="s">
        <v>255</v>
      </c>
      <c r="Y40" s="602" t="s">
        <v>256</v>
      </c>
      <c r="Z40" s="602" t="str">
        <f t="shared" si="15"/>
        <v/>
      </c>
      <c r="AA40" s="603" t="s">
        <v>257</v>
      </c>
      <c r="AB40" s="604" t="str">
        <f t="shared" si="16"/>
        <v/>
      </c>
      <c r="AC40" s="605" t="str">
        <f>IFERROR(ROUNDDOWN(ROUNDDOWN(ROUND(L40*VLOOKUP(K40,【参考】数式用!$A$2:$M$57,MATCH("処遇改善加算Ⅳ",【参考】数式用!$G$3:$M$3,0)+6,0),0)*M40,0)*Z40*0.5,0), "")</f>
        <v/>
      </c>
      <c r="AD40" s="245"/>
      <c r="AE40" s="246"/>
      <c r="AF40" s="246"/>
      <c r="AG40" s="247"/>
      <c r="AH40" s="248"/>
      <c r="AI40" s="249"/>
      <c r="AJ40" s="250"/>
      <c r="AK40" s="606" t="str">
        <f t="shared" si="17"/>
        <v/>
      </c>
      <c r="AL40" s="607" t="str">
        <f t="shared" si="0"/>
        <v/>
      </c>
      <c r="AM40" s="608"/>
      <c r="AN40" s="609" t="str">
        <f>IFERROR(VLOOKUP(K40,【参考】数式用!$A$2:$N$57,14,FALSE),"")</f>
        <v/>
      </c>
      <c r="AO40" s="609" t="str">
        <f t="shared" si="1"/>
        <v/>
      </c>
      <c r="AP40" s="610" t="str">
        <f t="shared" si="18"/>
        <v/>
      </c>
      <c r="AQ40" s="610" t="str">
        <f t="shared" si="19"/>
        <v>キャリアパス要件Ⅰ・Ⅱ_</v>
      </c>
      <c r="AR40" s="611" t="str">
        <f t="shared" si="20"/>
        <v>入力済</v>
      </c>
      <c r="AS40" s="609" t="str">
        <f t="shared" si="2"/>
        <v/>
      </c>
      <c r="AT40" s="611" t="str">
        <f t="shared" si="3"/>
        <v>入力済</v>
      </c>
      <c r="AU40" s="611" t="str">
        <f t="shared" si="4"/>
        <v/>
      </c>
      <c r="AV40" s="611" t="str">
        <f t="shared" si="5"/>
        <v/>
      </c>
      <c r="AW40" s="609" t="str">
        <f t="shared" si="6"/>
        <v/>
      </c>
      <c r="AX40" s="609" t="str">
        <f t="shared" si="7"/>
        <v>入力済</v>
      </c>
      <c r="AY40" s="611" t="str">
        <f>IFERROR(VLOOKUP(K40,【参考】数式用!$AR$3:$AS$49, 2, FALSE), "")</f>
        <v/>
      </c>
      <c r="AZ40" s="609" t="str">
        <f t="shared" si="8"/>
        <v/>
      </c>
      <c r="BA40" s="612" t="str">
        <f t="shared" si="21"/>
        <v>入力済</v>
      </c>
      <c r="BB40" s="611" t="str">
        <f>IFERROR(VLOOKUP(K40,【参考】数式用!$AX$3:$AY$59, 2, FALSE), "")</f>
        <v/>
      </c>
      <c r="BC40" s="609" t="str">
        <f t="shared" si="9"/>
        <v/>
      </c>
      <c r="BD40" s="612" t="str">
        <f t="shared" si="22"/>
        <v>入力済</v>
      </c>
      <c r="BE40" s="612" t="str">
        <f t="shared" si="10"/>
        <v/>
      </c>
      <c r="BF40" s="612" t="str">
        <f t="shared" si="11"/>
        <v/>
      </c>
      <c r="BG40" s="612" t="str">
        <f t="shared" si="12"/>
        <v/>
      </c>
      <c r="BH40" s="612" t="str">
        <f t="shared" si="13"/>
        <v/>
      </c>
      <c r="BI40" s="612" t="str">
        <f t="shared" si="14"/>
        <v/>
      </c>
      <c r="BJ40" s="51"/>
      <c r="BK40" s="51"/>
      <c r="BL40" s="51"/>
      <c r="BM40" s="51"/>
      <c r="BN40" s="51"/>
      <c r="BO40" s="51"/>
      <c r="BP40" s="51"/>
    </row>
    <row r="41" spans="1:68" ht="109.9" customHeight="1" thickBot="1">
      <c r="A41" s="599">
        <v>30</v>
      </c>
      <c r="B41" s="913" t="str">
        <f>IF(基本情報入力シート!B69="","",基本情報入力シート!B69)</f>
        <v/>
      </c>
      <c r="C41" s="914"/>
      <c r="D41" s="914"/>
      <c r="E41" s="914"/>
      <c r="F41" s="915"/>
      <c r="G41" s="600" t="str">
        <f>IF(基本情報入力シート!L69="", "", 基本情報入力シート!L69)</f>
        <v/>
      </c>
      <c r="H41" s="600" t="str">
        <f>IF(基本情報入力シート!Q69="", "", 基本情報入力シート!Q69)</f>
        <v/>
      </c>
      <c r="I41" s="600" t="str">
        <f>IF(基本情報入力シート!V69="", "", 基本情報入力シート!V69)</f>
        <v/>
      </c>
      <c r="J41" s="600" t="str">
        <f>IF(基本情報入力シート!W69="", "", 基本情報入力シート!W69)</f>
        <v/>
      </c>
      <c r="K41" s="600"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01" t="s">
        <v>170</v>
      </c>
      <c r="Q41" s="225"/>
      <c r="R41" s="602" t="s">
        <v>253</v>
      </c>
      <c r="S41" s="225"/>
      <c r="T41" s="602" t="s">
        <v>254</v>
      </c>
      <c r="U41" s="225"/>
      <c r="V41" s="602" t="s">
        <v>253</v>
      </c>
      <c r="W41" s="225"/>
      <c r="X41" s="602" t="s">
        <v>255</v>
      </c>
      <c r="Y41" s="602" t="s">
        <v>256</v>
      </c>
      <c r="Z41" s="602" t="str">
        <f t="shared" si="15"/>
        <v/>
      </c>
      <c r="AA41" s="603" t="s">
        <v>257</v>
      </c>
      <c r="AB41" s="604" t="str">
        <f t="shared" si="16"/>
        <v/>
      </c>
      <c r="AC41" s="605" t="str">
        <f>IFERROR(ROUNDDOWN(ROUNDDOWN(ROUND(L41*VLOOKUP(K41,【参考】数式用!$A$2:$M$57,MATCH("処遇改善加算Ⅳ",【参考】数式用!$G$3:$M$3,0)+6,0),0)*M41,0)*Z41*0.5,0), "")</f>
        <v/>
      </c>
      <c r="AD41" s="245"/>
      <c r="AE41" s="246"/>
      <c r="AF41" s="246"/>
      <c r="AG41" s="247"/>
      <c r="AH41" s="248"/>
      <c r="AI41" s="249"/>
      <c r="AJ41" s="250"/>
      <c r="AK41" s="606" t="str">
        <f t="shared" si="17"/>
        <v/>
      </c>
      <c r="AL41" s="607" t="str">
        <f t="shared" si="0"/>
        <v/>
      </c>
      <c r="AM41" s="608"/>
      <c r="AN41" s="609" t="str">
        <f>IFERROR(VLOOKUP(K41,【参考】数式用!$A$2:$N$57,14,FALSE),"")</f>
        <v/>
      </c>
      <c r="AO41" s="609" t="str">
        <f t="shared" si="1"/>
        <v/>
      </c>
      <c r="AP41" s="610" t="str">
        <f t="shared" si="18"/>
        <v/>
      </c>
      <c r="AQ41" s="610" t="str">
        <f t="shared" si="19"/>
        <v>キャリアパス要件Ⅰ・Ⅱ_</v>
      </c>
      <c r="AR41" s="611" t="str">
        <f t="shared" si="20"/>
        <v>入力済</v>
      </c>
      <c r="AS41" s="609" t="str">
        <f t="shared" si="2"/>
        <v/>
      </c>
      <c r="AT41" s="611" t="str">
        <f t="shared" si="3"/>
        <v>入力済</v>
      </c>
      <c r="AU41" s="611" t="str">
        <f t="shared" si="4"/>
        <v/>
      </c>
      <c r="AV41" s="611" t="str">
        <f t="shared" si="5"/>
        <v/>
      </c>
      <c r="AW41" s="609" t="str">
        <f t="shared" si="6"/>
        <v/>
      </c>
      <c r="AX41" s="609" t="str">
        <f t="shared" si="7"/>
        <v>入力済</v>
      </c>
      <c r="AY41" s="611" t="str">
        <f>IFERROR(VLOOKUP(K41,【参考】数式用!$AR$3:$AS$49, 2, FALSE), "")</f>
        <v/>
      </c>
      <c r="AZ41" s="609" t="str">
        <f t="shared" si="8"/>
        <v/>
      </c>
      <c r="BA41" s="612" t="str">
        <f t="shared" si="21"/>
        <v>入力済</v>
      </c>
      <c r="BB41" s="611" t="str">
        <f>IFERROR(VLOOKUP(K41,【参考】数式用!$AX$3:$AY$59, 2, FALSE), "")</f>
        <v/>
      </c>
      <c r="BC41" s="609" t="str">
        <f t="shared" si="9"/>
        <v/>
      </c>
      <c r="BD41" s="612" t="str">
        <f t="shared" si="22"/>
        <v>入力済</v>
      </c>
      <c r="BE41" s="612" t="str">
        <f t="shared" si="10"/>
        <v/>
      </c>
      <c r="BF41" s="612" t="str">
        <f t="shared" si="11"/>
        <v/>
      </c>
      <c r="BG41" s="612" t="str">
        <f t="shared" si="12"/>
        <v/>
      </c>
      <c r="BH41" s="612" t="str">
        <f t="shared" si="13"/>
        <v/>
      </c>
      <c r="BI41" s="612" t="str">
        <f t="shared" si="14"/>
        <v/>
      </c>
    </row>
    <row r="42" spans="1:68" ht="109.9" customHeight="1" thickBot="1">
      <c r="A42" s="599">
        <v>31</v>
      </c>
      <c r="B42" s="913" t="str">
        <f>IF(基本情報入力シート!B70="","",基本情報入力シート!B70)</f>
        <v/>
      </c>
      <c r="C42" s="914"/>
      <c r="D42" s="914"/>
      <c r="E42" s="914"/>
      <c r="F42" s="915"/>
      <c r="G42" s="600" t="str">
        <f>IF(基本情報入力シート!L70="", "", 基本情報入力シート!L70)</f>
        <v/>
      </c>
      <c r="H42" s="600" t="str">
        <f>IF(基本情報入力シート!Q70="", "", 基本情報入力シート!Q70)</f>
        <v/>
      </c>
      <c r="I42" s="600" t="str">
        <f>IF(基本情報入力シート!V70="", "", 基本情報入力シート!V70)</f>
        <v/>
      </c>
      <c r="J42" s="600" t="str">
        <f>IF(基本情報入力シート!W70="", "", 基本情報入力シート!W70)</f>
        <v/>
      </c>
      <c r="K42" s="600"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01" t="s">
        <v>170</v>
      </c>
      <c r="Q42" s="225"/>
      <c r="R42" s="602" t="s">
        <v>253</v>
      </c>
      <c r="S42" s="225"/>
      <c r="T42" s="602" t="s">
        <v>254</v>
      </c>
      <c r="U42" s="225"/>
      <c r="V42" s="602" t="s">
        <v>253</v>
      </c>
      <c r="W42" s="225"/>
      <c r="X42" s="602" t="s">
        <v>255</v>
      </c>
      <c r="Y42" s="602" t="s">
        <v>256</v>
      </c>
      <c r="Z42" s="602" t="str">
        <f t="shared" si="15"/>
        <v/>
      </c>
      <c r="AA42" s="603" t="s">
        <v>257</v>
      </c>
      <c r="AB42" s="604" t="str">
        <f t="shared" si="16"/>
        <v/>
      </c>
      <c r="AC42" s="605" t="str">
        <f>IFERROR(ROUNDDOWN(ROUNDDOWN(ROUND(L42*VLOOKUP(K42,【参考】数式用!$A$2:$M$57,MATCH("処遇改善加算Ⅳ",【参考】数式用!$G$3:$M$3,0)+6,0),0)*M42,0)*Z42*0.5,0), "")</f>
        <v/>
      </c>
      <c r="AD42" s="245"/>
      <c r="AE42" s="246"/>
      <c r="AF42" s="246"/>
      <c r="AG42" s="247"/>
      <c r="AH42" s="248"/>
      <c r="AI42" s="249"/>
      <c r="AJ42" s="250"/>
      <c r="AK42" s="606" t="str">
        <f t="shared" si="17"/>
        <v/>
      </c>
      <c r="AL42" s="607" t="str">
        <f t="shared" si="0"/>
        <v/>
      </c>
      <c r="AM42" s="608"/>
      <c r="AN42" s="609" t="str">
        <f>IFERROR(VLOOKUP(K42,【参考】数式用!$A$2:$N$57,14,FALSE),"")</f>
        <v/>
      </c>
      <c r="AO42" s="609" t="str">
        <f t="shared" si="1"/>
        <v/>
      </c>
      <c r="AP42" s="610" t="str">
        <f t="shared" si="18"/>
        <v/>
      </c>
      <c r="AQ42" s="610" t="str">
        <f t="shared" si="19"/>
        <v>キャリアパス要件Ⅰ・Ⅱ_</v>
      </c>
      <c r="AR42" s="611" t="str">
        <f t="shared" si="20"/>
        <v>入力済</v>
      </c>
      <c r="AS42" s="609" t="str">
        <f t="shared" si="2"/>
        <v/>
      </c>
      <c r="AT42" s="611" t="str">
        <f t="shared" si="3"/>
        <v>入力済</v>
      </c>
      <c r="AU42" s="611" t="str">
        <f t="shared" si="4"/>
        <v/>
      </c>
      <c r="AV42" s="611" t="str">
        <f t="shared" si="5"/>
        <v/>
      </c>
      <c r="AW42" s="609" t="str">
        <f t="shared" si="6"/>
        <v/>
      </c>
      <c r="AX42" s="609" t="str">
        <f t="shared" si="7"/>
        <v>入力済</v>
      </c>
      <c r="AY42" s="611" t="str">
        <f>IFERROR(VLOOKUP(K42,【参考】数式用!$AR$3:$AS$49, 2, FALSE), "")</f>
        <v/>
      </c>
      <c r="AZ42" s="609" t="str">
        <f t="shared" si="8"/>
        <v/>
      </c>
      <c r="BA42" s="612" t="str">
        <f t="shared" si="21"/>
        <v>入力済</v>
      </c>
      <c r="BB42" s="611" t="str">
        <f>IFERROR(VLOOKUP(K42,【参考】数式用!$AX$3:$AY$59, 2, FALSE), "")</f>
        <v/>
      </c>
      <c r="BC42" s="609" t="str">
        <f t="shared" si="9"/>
        <v/>
      </c>
      <c r="BD42" s="612" t="str">
        <f t="shared" si="22"/>
        <v>入力済</v>
      </c>
      <c r="BE42" s="612" t="str">
        <f t="shared" si="10"/>
        <v/>
      </c>
      <c r="BF42" s="612" t="str">
        <f t="shared" si="11"/>
        <v/>
      </c>
      <c r="BG42" s="612" t="str">
        <f t="shared" si="12"/>
        <v/>
      </c>
      <c r="BH42" s="612" t="str">
        <f t="shared" si="13"/>
        <v/>
      </c>
      <c r="BI42" s="612" t="str">
        <f t="shared" si="14"/>
        <v/>
      </c>
    </row>
    <row r="43" spans="1:68" ht="109.9" customHeight="1" thickBot="1">
      <c r="A43" s="599">
        <v>32</v>
      </c>
      <c r="B43" s="913" t="str">
        <f>IF(基本情報入力シート!B71="","",基本情報入力シート!B71)</f>
        <v/>
      </c>
      <c r="C43" s="914"/>
      <c r="D43" s="914"/>
      <c r="E43" s="914"/>
      <c r="F43" s="915"/>
      <c r="G43" s="600" t="str">
        <f>IF(基本情報入力シート!L71="", "", 基本情報入力シート!L71)</f>
        <v/>
      </c>
      <c r="H43" s="600" t="str">
        <f>IF(基本情報入力シート!Q71="", "", 基本情報入力シート!Q71)</f>
        <v/>
      </c>
      <c r="I43" s="600" t="str">
        <f>IF(基本情報入力シート!V71="", "", 基本情報入力シート!V71)</f>
        <v/>
      </c>
      <c r="J43" s="600" t="str">
        <f>IF(基本情報入力シート!W71="", "", 基本情報入力シート!W71)</f>
        <v/>
      </c>
      <c r="K43" s="600"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01" t="s">
        <v>170</v>
      </c>
      <c r="Q43" s="225"/>
      <c r="R43" s="602" t="s">
        <v>253</v>
      </c>
      <c r="S43" s="225"/>
      <c r="T43" s="602" t="s">
        <v>254</v>
      </c>
      <c r="U43" s="225"/>
      <c r="V43" s="602" t="s">
        <v>253</v>
      </c>
      <c r="W43" s="225"/>
      <c r="X43" s="602" t="s">
        <v>172</v>
      </c>
      <c r="Y43" s="602" t="s">
        <v>256</v>
      </c>
      <c r="Z43" s="602" t="str">
        <f t="shared" si="15"/>
        <v/>
      </c>
      <c r="AA43" s="603" t="s">
        <v>257</v>
      </c>
      <c r="AB43" s="604" t="str">
        <f t="shared" si="16"/>
        <v/>
      </c>
      <c r="AC43" s="605" t="str">
        <f>IFERROR(ROUNDDOWN(ROUNDDOWN(ROUND(L43*VLOOKUP(K43,【参考】数式用!$A$2:$M$57,MATCH("処遇改善加算Ⅳ",【参考】数式用!$G$3:$M$3,0)+6,0),0)*M43,0)*Z43*0.5,0), "")</f>
        <v/>
      </c>
      <c r="AD43" s="245"/>
      <c r="AE43" s="246"/>
      <c r="AF43" s="246"/>
      <c r="AG43" s="247"/>
      <c r="AH43" s="248"/>
      <c r="AI43" s="249"/>
      <c r="AJ43" s="250"/>
      <c r="AK43" s="606" t="str">
        <f t="shared" si="17"/>
        <v/>
      </c>
      <c r="AL43" s="607" t="str">
        <f t="shared" si="0"/>
        <v/>
      </c>
      <c r="AM43" s="608"/>
      <c r="AN43" s="609" t="str">
        <f>IFERROR(VLOOKUP(K43,【参考】数式用!$A$2:$N$57,14,FALSE),"")</f>
        <v/>
      </c>
      <c r="AO43" s="609" t="str">
        <f t="shared" si="1"/>
        <v/>
      </c>
      <c r="AP43" s="610" t="str">
        <f t="shared" si="18"/>
        <v/>
      </c>
      <c r="AQ43" s="610" t="str">
        <f t="shared" si="19"/>
        <v>キャリアパス要件Ⅰ・Ⅱ_</v>
      </c>
      <c r="AR43" s="611" t="str">
        <f t="shared" si="20"/>
        <v>入力済</v>
      </c>
      <c r="AS43" s="609" t="str">
        <f t="shared" si="2"/>
        <v/>
      </c>
      <c r="AT43" s="611" t="str">
        <f t="shared" si="3"/>
        <v>入力済</v>
      </c>
      <c r="AU43" s="611" t="str">
        <f t="shared" si="4"/>
        <v/>
      </c>
      <c r="AV43" s="611" t="str">
        <f t="shared" si="5"/>
        <v/>
      </c>
      <c r="AW43" s="609" t="str">
        <f t="shared" si="6"/>
        <v/>
      </c>
      <c r="AX43" s="609" t="str">
        <f t="shared" si="7"/>
        <v>入力済</v>
      </c>
      <c r="AY43" s="611" t="str">
        <f>IFERROR(VLOOKUP(K43,【参考】数式用!$AR$3:$AS$49, 2, FALSE), "")</f>
        <v/>
      </c>
      <c r="AZ43" s="609" t="str">
        <f t="shared" si="8"/>
        <v/>
      </c>
      <c r="BA43" s="612" t="str">
        <f t="shared" si="21"/>
        <v>入力済</v>
      </c>
      <c r="BB43" s="611" t="str">
        <f>IFERROR(VLOOKUP(K43,【参考】数式用!$AX$3:$AY$59, 2, FALSE), "")</f>
        <v/>
      </c>
      <c r="BC43" s="609" t="str">
        <f t="shared" si="9"/>
        <v/>
      </c>
      <c r="BD43" s="612" t="str">
        <f t="shared" si="22"/>
        <v>入力済</v>
      </c>
      <c r="BE43" s="612" t="str">
        <f t="shared" si="10"/>
        <v/>
      </c>
      <c r="BF43" s="612" t="str">
        <f t="shared" si="11"/>
        <v/>
      </c>
      <c r="BG43" s="612" t="str">
        <f t="shared" si="12"/>
        <v/>
      </c>
      <c r="BH43" s="612" t="str">
        <f t="shared" si="13"/>
        <v/>
      </c>
      <c r="BI43" s="612" t="str">
        <f t="shared" si="14"/>
        <v/>
      </c>
    </row>
    <row r="44" spans="1:68" ht="109.9" customHeight="1" thickBot="1">
      <c r="A44" s="599">
        <v>33</v>
      </c>
      <c r="B44" s="913" t="str">
        <f>IF(基本情報入力シート!B72="","",基本情報入力シート!B72)</f>
        <v/>
      </c>
      <c r="C44" s="914"/>
      <c r="D44" s="914"/>
      <c r="E44" s="914"/>
      <c r="F44" s="915"/>
      <c r="G44" s="600" t="str">
        <f>IF(基本情報入力シート!L72="", "", 基本情報入力シート!L72)</f>
        <v/>
      </c>
      <c r="H44" s="600" t="str">
        <f>IF(基本情報入力シート!Q72="", "", 基本情報入力シート!Q72)</f>
        <v/>
      </c>
      <c r="I44" s="600" t="str">
        <f>IF(基本情報入力シート!V72="", "", 基本情報入力シート!V72)</f>
        <v/>
      </c>
      <c r="J44" s="600" t="str">
        <f>IF(基本情報入力シート!W72="", "", 基本情報入力シート!W72)</f>
        <v/>
      </c>
      <c r="K44" s="600"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01" t="s">
        <v>170</v>
      </c>
      <c r="Q44" s="225"/>
      <c r="R44" s="602" t="s">
        <v>253</v>
      </c>
      <c r="S44" s="225"/>
      <c r="T44" s="602" t="s">
        <v>254</v>
      </c>
      <c r="U44" s="225"/>
      <c r="V44" s="602" t="s">
        <v>253</v>
      </c>
      <c r="W44" s="225"/>
      <c r="X44" s="602" t="s">
        <v>172</v>
      </c>
      <c r="Y44" s="602" t="s">
        <v>256</v>
      </c>
      <c r="Z44" s="602" t="str">
        <f t="shared" si="15"/>
        <v/>
      </c>
      <c r="AA44" s="603" t="s">
        <v>257</v>
      </c>
      <c r="AB44" s="604" t="str">
        <f t="shared" si="16"/>
        <v/>
      </c>
      <c r="AC44" s="605" t="str">
        <f>IFERROR(ROUNDDOWN(ROUNDDOWN(ROUND(L44*VLOOKUP(K44,【参考】数式用!$A$2:$M$57,MATCH("処遇改善加算Ⅳ",【参考】数式用!$G$3:$M$3,0)+6,0),0)*M44,0)*Z44*0.5,0), "")</f>
        <v/>
      </c>
      <c r="AD44" s="245"/>
      <c r="AE44" s="246"/>
      <c r="AF44" s="246"/>
      <c r="AG44" s="247"/>
      <c r="AH44" s="248"/>
      <c r="AI44" s="249"/>
      <c r="AJ44" s="250"/>
      <c r="AK44" s="606" t="str">
        <f t="shared" si="17"/>
        <v/>
      </c>
      <c r="AL44" s="607" t="str">
        <f t="shared" si="0"/>
        <v/>
      </c>
      <c r="AM44" s="608"/>
      <c r="AN44" s="609" t="str">
        <f>IFERROR(VLOOKUP(K44,【参考】数式用!$A$2:$N$57,14,FALSE),"")</f>
        <v/>
      </c>
      <c r="AO44" s="609" t="str">
        <f t="shared" si="1"/>
        <v/>
      </c>
      <c r="AP44" s="610" t="str">
        <f t="shared" si="18"/>
        <v/>
      </c>
      <c r="AQ44" s="610" t="str">
        <f t="shared" si="19"/>
        <v>キャリアパス要件Ⅰ・Ⅱ_</v>
      </c>
      <c r="AR44" s="611" t="str">
        <f t="shared" si="20"/>
        <v>入力済</v>
      </c>
      <c r="AS44" s="609" t="str">
        <f t="shared" si="2"/>
        <v/>
      </c>
      <c r="AT44" s="611" t="str">
        <f t="shared" si="3"/>
        <v>入力済</v>
      </c>
      <c r="AU44" s="611" t="str">
        <f t="shared" si="4"/>
        <v/>
      </c>
      <c r="AV44" s="611" t="str">
        <f t="shared" si="5"/>
        <v/>
      </c>
      <c r="AW44" s="609" t="str">
        <f t="shared" si="6"/>
        <v/>
      </c>
      <c r="AX44" s="609" t="str">
        <f t="shared" si="7"/>
        <v>入力済</v>
      </c>
      <c r="AY44" s="611" t="str">
        <f>IFERROR(VLOOKUP(K44,【参考】数式用!$AR$3:$AS$49, 2, FALSE), "")</f>
        <v/>
      </c>
      <c r="AZ44" s="609" t="str">
        <f t="shared" si="8"/>
        <v/>
      </c>
      <c r="BA44" s="612" t="str">
        <f t="shared" si="21"/>
        <v>入力済</v>
      </c>
      <c r="BB44" s="611" t="str">
        <f>IFERROR(VLOOKUP(K44,【参考】数式用!$AX$3:$AY$59, 2, FALSE), "")</f>
        <v/>
      </c>
      <c r="BC44" s="609" t="str">
        <f t="shared" si="9"/>
        <v/>
      </c>
      <c r="BD44" s="612" t="str">
        <f t="shared" ref="BD44:BD75" si="38">IF(AND(COUNTIF(AE44:AH44,"*令和８年度特例要件を*")&gt;0,AJ44=""), "未入力","入力済")</f>
        <v>入力済</v>
      </c>
      <c r="BE44" s="612" t="str">
        <f t="shared" si="10"/>
        <v/>
      </c>
      <c r="BF44" s="612" t="str">
        <f t="shared" si="11"/>
        <v/>
      </c>
      <c r="BG44" s="612" t="str">
        <f t="shared" si="12"/>
        <v/>
      </c>
      <c r="BH44" s="612" t="str">
        <f t="shared" si="13"/>
        <v/>
      </c>
      <c r="BI44" s="612" t="str">
        <f t="shared" si="14"/>
        <v/>
      </c>
    </row>
    <row r="45" spans="1:68" ht="109.9" customHeight="1" thickBot="1">
      <c r="A45" s="599">
        <v>34</v>
      </c>
      <c r="B45" s="913" t="str">
        <f>IF(基本情報入力シート!B73="","",基本情報入力シート!B73)</f>
        <v/>
      </c>
      <c r="C45" s="914"/>
      <c r="D45" s="914"/>
      <c r="E45" s="914"/>
      <c r="F45" s="915"/>
      <c r="G45" s="600" t="str">
        <f>IF(基本情報入力シート!L73="", "", 基本情報入力シート!L73)</f>
        <v/>
      </c>
      <c r="H45" s="600" t="str">
        <f>IF(基本情報入力シート!Q73="", "", 基本情報入力シート!Q73)</f>
        <v/>
      </c>
      <c r="I45" s="600" t="str">
        <f>IF(基本情報入力シート!V73="", "", 基本情報入力シート!V73)</f>
        <v/>
      </c>
      <c r="J45" s="600" t="str">
        <f>IF(基本情報入力シート!W73="", "", 基本情報入力シート!W73)</f>
        <v/>
      </c>
      <c r="K45" s="600"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01" t="s">
        <v>170</v>
      </c>
      <c r="Q45" s="225"/>
      <c r="R45" s="602" t="s">
        <v>253</v>
      </c>
      <c r="S45" s="225"/>
      <c r="T45" s="602" t="s">
        <v>254</v>
      </c>
      <c r="U45" s="225"/>
      <c r="V45" s="602" t="s">
        <v>253</v>
      </c>
      <c r="W45" s="225"/>
      <c r="X45" s="602" t="s">
        <v>255</v>
      </c>
      <c r="Y45" s="602" t="s">
        <v>256</v>
      </c>
      <c r="Z45" s="602" t="str">
        <f t="shared" si="15"/>
        <v/>
      </c>
      <c r="AA45" s="603" t="s">
        <v>257</v>
      </c>
      <c r="AB45" s="604" t="str">
        <f t="shared" si="16"/>
        <v/>
      </c>
      <c r="AC45" s="605" t="str">
        <f>IFERROR(ROUNDDOWN(ROUNDDOWN(ROUND(L45*VLOOKUP(K45,【参考】数式用!$A$2:$M$57,MATCH("処遇改善加算Ⅳ",【参考】数式用!$G$3:$M$3,0)+6,0),0)*M45,0)*Z45*0.5,0), "")</f>
        <v/>
      </c>
      <c r="AD45" s="245"/>
      <c r="AE45" s="246"/>
      <c r="AF45" s="246"/>
      <c r="AG45" s="247"/>
      <c r="AH45" s="248"/>
      <c r="AI45" s="249"/>
      <c r="AJ45" s="250"/>
      <c r="AK45" s="606" t="str">
        <f t="shared" si="17"/>
        <v/>
      </c>
      <c r="AL45" s="607" t="str">
        <f t="shared" si="0"/>
        <v/>
      </c>
      <c r="AM45" s="608"/>
      <c r="AN45" s="609" t="str">
        <f>IFERROR(VLOOKUP(K45,【参考】数式用!$A$2:$N$57,14,FALSE),"")</f>
        <v/>
      </c>
      <c r="AO45" s="609" t="str">
        <f t="shared" si="1"/>
        <v/>
      </c>
      <c r="AP45" s="610" t="str">
        <f t="shared" si="18"/>
        <v/>
      </c>
      <c r="AQ45" s="610" t="str">
        <f t="shared" si="19"/>
        <v>キャリアパス要件Ⅰ・Ⅱ_</v>
      </c>
      <c r="AR45" s="611" t="str">
        <f t="shared" si="20"/>
        <v>入力済</v>
      </c>
      <c r="AS45" s="609" t="str">
        <f t="shared" si="2"/>
        <v/>
      </c>
      <c r="AT45" s="611" t="str">
        <f t="shared" si="3"/>
        <v>入力済</v>
      </c>
      <c r="AU45" s="611" t="str">
        <f t="shared" si="4"/>
        <v/>
      </c>
      <c r="AV45" s="611" t="str">
        <f t="shared" si="5"/>
        <v/>
      </c>
      <c r="AW45" s="609" t="str">
        <f t="shared" si="6"/>
        <v/>
      </c>
      <c r="AX45" s="609" t="str">
        <f t="shared" si="7"/>
        <v>入力済</v>
      </c>
      <c r="AY45" s="611" t="str">
        <f>IFERROR(VLOOKUP(K45,【参考】数式用!$AR$3:$AS$49, 2, FALSE), "")</f>
        <v/>
      </c>
      <c r="AZ45" s="609" t="str">
        <f t="shared" si="8"/>
        <v/>
      </c>
      <c r="BA45" s="612" t="str">
        <f t="shared" si="21"/>
        <v>入力済</v>
      </c>
      <c r="BB45" s="611" t="str">
        <f>IFERROR(VLOOKUP(K45,【参考】数式用!$AX$3:$AY$59, 2, FALSE), "")</f>
        <v/>
      </c>
      <c r="BC45" s="609" t="str">
        <f t="shared" si="9"/>
        <v/>
      </c>
      <c r="BD45" s="612" t="str">
        <f t="shared" si="38"/>
        <v>入力済</v>
      </c>
      <c r="BE45" s="612" t="str">
        <f t="shared" si="10"/>
        <v/>
      </c>
      <c r="BF45" s="612" t="str">
        <f t="shared" si="11"/>
        <v/>
      </c>
      <c r="BG45" s="612" t="str">
        <f t="shared" si="12"/>
        <v/>
      </c>
      <c r="BH45" s="612" t="str">
        <f t="shared" si="13"/>
        <v/>
      </c>
      <c r="BI45" s="612" t="str">
        <f t="shared" si="14"/>
        <v/>
      </c>
    </row>
    <row r="46" spans="1:68" ht="109.9" customHeight="1" thickBot="1">
      <c r="A46" s="599">
        <v>35</v>
      </c>
      <c r="B46" s="913" t="str">
        <f>IF(基本情報入力シート!B74="","",基本情報入力シート!B74)</f>
        <v/>
      </c>
      <c r="C46" s="914"/>
      <c r="D46" s="914"/>
      <c r="E46" s="914"/>
      <c r="F46" s="915"/>
      <c r="G46" s="600" t="str">
        <f>IF(基本情報入力シート!L74="", "", 基本情報入力シート!L74)</f>
        <v/>
      </c>
      <c r="H46" s="600" t="str">
        <f>IF(基本情報入力シート!Q74="", "", 基本情報入力シート!Q74)</f>
        <v/>
      </c>
      <c r="I46" s="600" t="str">
        <f>IF(基本情報入力シート!V74="", "", 基本情報入力シート!V74)</f>
        <v/>
      </c>
      <c r="J46" s="600" t="str">
        <f>IF(基本情報入力シート!W74="", "", 基本情報入力シート!W74)</f>
        <v/>
      </c>
      <c r="K46" s="600"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01" t="s">
        <v>170</v>
      </c>
      <c r="Q46" s="225"/>
      <c r="R46" s="602" t="s">
        <v>253</v>
      </c>
      <c r="S46" s="225"/>
      <c r="T46" s="602" t="s">
        <v>254</v>
      </c>
      <c r="U46" s="225"/>
      <c r="V46" s="602" t="s">
        <v>253</v>
      </c>
      <c r="W46" s="225"/>
      <c r="X46" s="602" t="s">
        <v>255</v>
      </c>
      <c r="Y46" s="602" t="s">
        <v>256</v>
      </c>
      <c r="Z46" s="602" t="str">
        <f t="shared" si="15"/>
        <v/>
      </c>
      <c r="AA46" s="603" t="s">
        <v>257</v>
      </c>
      <c r="AB46" s="604" t="str">
        <f t="shared" si="16"/>
        <v/>
      </c>
      <c r="AC46" s="605" t="str">
        <f>IFERROR(ROUNDDOWN(ROUNDDOWN(ROUND(L46*VLOOKUP(K46,【参考】数式用!$A$2:$M$57,MATCH("処遇改善加算Ⅳ",【参考】数式用!$G$3:$M$3,0)+6,0),0)*M46,0)*Z46*0.5,0), "")</f>
        <v/>
      </c>
      <c r="AD46" s="245"/>
      <c r="AE46" s="246"/>
      <c r="AF46" s="246"/>
      <c r="AG46" s="247"/>
      <c r="AH46" s="248"/>
      <c r="AI46" s="249"/>
      <c r="AJ46" s="250"/>
      <c r="AK46" s="606" t="str">
        <f t="shared" si="17"/>
        <v/>
      </c>
      <c r="AL46" s="607" t="str">
        <f t="shared" si="0"/>
        <v/>
      </c>
      <c r="AM46" s="608"/>
      <c r="AN46" s="609" t="str">
        <f>IFERROR(VLOOKUP(K46,【参考】数式用!$A$2:$N$57,14,FALSE),"")</f>
        <v/>
      </c>
      <c r="AO46" s="609" t="str">
        <f t="shared" si="1"/>
        <v/>
      </c>
      <c r="AP46" s="610" t="str">
        <f t="shared" si="18"/>
        <v/>
      </c>
      <c r="AQ46" s="610" t="str">
        <f t="shared" si="19"/>
        <v>キャリアパス要件Ⅰ・Ⅱ_</v>
      </c>
      <c r="AR46" s="611" t="str">
        <f t="shared" si="20"/>
        <v>入力済</v>
      </c>
      <c r="AS46" s="609" t="str">
        <f t="shared" si="2"/>
        <v/>
      </c>
      <c r="AT46" s="611" t="str">
        <f t="shared" si="3"/>
        <v>入力済</v>
      </c>
      <c r="AU46" s="611" t="str">
        <f t="shared" si="4"/>
        <v/>
      </c>
      <c r="AV46" s="611" t="str">
        <f t="shared" si="5"/>
        <v/>
      </c>
      <c r="AW46" s="609" t="str">
        <f t="shared" si="6"/>
        <v/>
      </c>
      <c r="AX46" s="609" t="str">
        <f t="shared" si="7"/>
        <v>入力済</v>
      </c>
      <c r="AY46" s="611" t="str">
        <f>IFERROR(VLOOKUP(K46,【参考】数式用!$AR$3:$AS$49, 2, FALSE), "")</f>
        <v/>
      </c>
      <c r="AZ46" s="609" t="str">
        <f t="shared" si="8"/>
        <v/>
      </c>
      <c r="BA46" s="612" t="str">
        <f t="shared" si="21"/>
        <v>入力済</v>
      </c>
      <c r="BB46" s="611" t="str">
        <f>IFERROR(VLOOKUP(K46,【参考】数式用!$AX$3:$AY$59, 2, FALSE), "")</f>
        <v/>
      </c>
      <c r="BC46" s="609" t="str">
        <f t="shared" si="9"/>
        <v/>
      </c>
      <c r="BD46" s="612" t="str">
        <f t="shared" si="38"/>
        <v>入力済</v>
      </c>
      <c r="BE46" s="612" t="str">
        <f t="shared" si="10"/>
        <v/>
      </c>
      <c r="BF46" s="612" t="str">
        <f t="shared" si="11"/>
        <v/>
      </c>
      <c r="BG46" s="612" t="str">
        <f t="shared" si="12"/>
        <v/>
      </c>
      <c r="BH46" s="612" t="str">
        <f t="shared" si="13"/>
        <v/>
      </c>
      <c r="BI46" s="612" t="str">
        <f t="shared" si="14"/>
        <v/>
      </c>
    </row>
    <row r="47" spans="1:68" ht="109.9" customHeight="1" thickBot="1">
      <c r="A47" s="599">
        <v>36</v>
      </c>
      <c r="B47" s="913" t="str">
        <f>IF(基本情報入力シート!B75="","",基本情報入力シート!B75)</f>
        <v/>
      </c>
      <c r="C47" s="914"/>
      <c r="D47" s="914"/>
      <c r="E47" s="914"/>
      <c r="F47" s="915"/>
      <c r="G47" s="600" t="str">
        <f>IF(基本情報入力シート!L75="", "", 基本情報入力シート!L75)</f>
        <v/>
      </c>
      <c r="H47" s="600" t="str">
        <f>IF(基本情報入力シート!Q75="", "", 基本情報入力シート!Q75)</f>
        <v/>
      </c>
      <c r="I47" s="600" t="str">
        <f>IF(基本情報入力シート!V75="", "", 基本情報入力シート!V75)</f>
        <v/>
      </c>
      <c r="J47" s="600" t="str">
        <f>IF(基本情報入力シート!W75="", "", 基本情報入力シート!W75)</f>
        <v/>
      </c>
      <c r="K47" s="600"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01" t="s">
        <v>170</v>
      </c>
      <c r="Q47" s="225"/>
      <c r="R47" s="602" t="s">
        <v>253</v>
      </c>
      <c r="S47" s="225"/>
      <c r="T47" s="602" t="s">
        <v>254</v>
      </c>
      <c r="U47" s="225"/>
      <c r="V47" s="602" t="s">
        <v>253</v>
      </c>
      <c r="W47" s="225"/>
      <c r="X47" s="602" t="s">
        <v>255</v>
      </c>
      <c r="Y47" s="602" t="s">
        <v>256</v>
      </c>
      <c r="Z47" s="602" t="str">
        <f t="shared" si="15"/>
        <v/>
      </c>
      <c r="AA47" s="603" t="s">
        <v>257</v>
      </c>
      <c r="AB47" s="604" t="str">
        <f t="shared" si="16"/>
        <v/>
      </c>
      <c r="AC47" s="605" t="str">
        <f>IFERROR(ROUNDDOWN(ROUNDDOWN(ROUND(L47*VLOOKUP(K47,【参考】数式用!$A$2:$M$57,MATCH("処遇改善加算Ⅳ",【参考】数式用!$G$3:$M$3,0)+6,0),0)*M47,0)*Z47*0.5,0), "")</f>
        <v/>
      </c>
      <c r="AD47" s="245"/>
      <c r="AE47" s="246"/>
      <c r="AF47" s="246"/>
      <c r="AG47" s="247"/>
      <c r="AH47" s="248"/>
      <c r="AI47" s="249"/>
      <c r="AJ47" s="250"/>
      <c r="AK47" s="606" t="str">
        <f t="shared" si="17"/>
        <v/>
      </c>
      <c r="AL47" s="607" t="str">
        <f t="shared" si="0"/>
        <v/>
      </c>
      <c r="AM47" s="608"/>
      <c r="AN47" s="609" t="str">
        <f>IFERROR(VLOOKUP(K47,【参考】数式用!$A$2:$N$57,14,FALSE),"")</f>
        <v/>
      </c>
      <c r="AO47" s="609" t="str">
        <f t="shared" si="1"/>
        <v/>
      </c>
      <c r="AP47" s="610" t="str">
        <f t="shared" si="18"/>
        <v/>
      </c>
      <c r="AQ47" s="610" t="str">
        <f t="shared" si="19"/>
        <v>キャリアパス要件Ⅰ・Ⅱ_</v>
      </c>
      <c r="AR47" s="611" t="str">
        <f t="shared" si="20"/>
        <v>入力済</v>
      </c>
      <c r="AS47" s="609" t="str">
        <f t="shared" si="2"/>
        <v/>
      </c>
      <c r="AT47" s="611" t="str">
        <f t="shared" si="3"/>
        <v>入力済</v>
      </c>
      <c r="AU47" s="611" t="str">
        <f t="shared" si="4"/>
        <v/>
      </c>
      <c r="AV47" s="611" t="str">
        <f t="shared" si="5"/>
        <v/>
      </c>
      <c r="AW47" s="609" t="str">
        <f t="shared" si="6"/>
        <v/>
      </c>
      <c r="AX47" s="609" t="str">
        <f t="shared" si="7"/>
        <v>入力済</v>
      </c>
      <c r="AY47" s="611" t="str">
        <f>IFERROR(VLOOKUP(K47,【参考】数式用!$AR$3:$AS$49, 2, FALSE), "")</f>
        <v/>
      </c>
      <c r="AZ47" s="609" t="str">
        <f t="shared" si="8"/>
        <v/>
      </c>
      <c r="BA47" s="612" t="str">
        <f t="shared" si="21"/>
        <v>入力済</v>
      </c>
      <c r="BB47" s="611" t="str">
        <f>IFERROR(VLOOKUP(K47,【参考】数式用!$AX$3:$AY$59, 2, FALSE), "")</f>
        <v/>
      </c>
      <c r="BC47" s="609" t="str">
        <f t="shared" si="9"/>
        <v/>
      </c>
      <c r="BD47" s="612" t="str">
        <f t="shared" si="38"/>
        <v>入力済</v>
      </c>
      <c r="BE47" s="612" t="str">
        <f t="shared" si="10"/>
        <v/>
      </c>
      <c r="BF47" s="612" t="str">
        <f t="shared" si="11"/>
        <v/>
      </c>
      <c r="BG47" s="612" t="str">
        <f t="shared" si="12"/>
        <v/>
      </c>
      <c r="BH47" s="612" t="str">
        <f t="shared" si="13"/>
        <v/>
      </c>
      <c r="BI47" s="612" t="str">
        <f t="shared" si="14"/>
        <v/>
      </c>
    </row>
    <row r="48" spans="1:68" ht="109.9" customHeight="1" thickBot="1">
      <c r="A48" s="599">
        <v>37</v>
      </c>
      <c r="B48" s="913" t="str">
        <f>IF(基本情報入力シート!B76="","",基本情報入力シート!B76)</f>
        <v/>
      </c>
      <c r="C48" s="914"/>
      <c r="D48" s="914"/>
      <c r="E48" s="914"/>
      <c r="F48" s="915"/>
      <c r="G48" s="600" t="str">
        <f>IF(基本情報入力シート!L76="", "", 基本情報入力シート!L76)</f>
        <v/>
      </c>
      <c r="H48" s="600" t="str">
        <f>IF(基本情報入力シート!Q76="", "", 基本情報入力シート!Q76)</f>
        <v/>
      </c>
      <c r="I48" s="600" t="str">
        <f>IF(基本情報入力シート!V76="", "", 基本情報入力シート!V76)</f>
        <v/>
      </c>
      <c r="J48" s="600" t="str">
        <f>IF(基本情報入力シート!W76="", "", 基本情報入力シート!W76)</f>
        <v/>
      </c>
      <c r="K48" s="600"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01" t="s">
        <v>170</v>
      </c>
      <c r="Q48" s="225"/>
      <c r="R48" s="602" t="s">
        <v>253</v>
      </c>
      <c r="S48" s="225"/>
      <c r="T48" s="602" t="s">
        <v>254</v>
      </c>
      <c r="U48" s="225"/>
      <c r="V48" s="602" t="s">
        <v>253</v>
      </c>
      <c r="W48" s="225"/>
      <c r="X48" s="602" t="s">
        <v>172</v>
      </c>
      <c r="Y48" s="602" t="s">
        <v>256</v>
      </c>
      <c r="Z48" s="602" t="str">
        <f t="shared" si="15"/>
        <v/>
      </c>
      <c r="AA48" s="603" t="s">
        <v>257</v>
      </c>
      <c r="AB48" s="604" t="str">
        <f t="shared" si="16"/>
        <v/>
      </c>
      <c r="AC48" s="605" t="str">
        <f>IFERROR(ROUNDDOWN(ROUNDDOWN(ROUND(L48*VLOOKUP(K48,【参考】数式用!$A$2:$M$57,MATCH("処遇改善加算Ⅳ",【参考】数式用!$G$3:$M$3,0)+6,0),0)*M48,0)*Z48*0.5,0), "")</f>
        <v/>
      </c>
      <c r="AD48" s="245"/>
      <c r="AE48" s="246"/>
      <c r="AF48" s="246"/>
      <c r="AG48" s="247"/>
      <c r="AH48" s="248"/>
      <c r="AI48" s="249"/>
      <c r="AJ48" s="250"/>
      <c r="AK48" s="606" t="str">
        <f t="shared" si="17"/>
        <v/>
      </c>
      <c r="AL48" s="607" t="str">
        <f t="shared" si="0"/>
        <v/>
      </c>
      <c r="AM48" s="608"/>
      <c r="AN48" s="609" t="str">
        <f>IFERROR(VLOOKUP(K48,【参考】数式用!$A$2:$N$57,14,FALSE),"")</f>
        <v/>
      </c>
      <c r="AO48" s="609" t="str">
        <f t="shared" si="1"/>
        <v/>
      </c>
      <c r="AP48" s="610" t="str">
        <f t="shared" si="18"/>
        <v/>
      </c>
      <c r="AQ48" s="610" t="str">
        <f t="shared" si="19"/>
        <v>キャリアパス要件Ⅰ・Ⅱ_</v>
      </c>
      <c r="AR48" s="611" t="str">
        <f t="shared" si="20"/>
        <v>入力済</v>
      </c>
      <c r="AS48" s="609" t="str">
        <f t="shared" si="2"/>
        <v/>
      </c>
      <c r="AT48" s="611" t="str">
        <f t="shared" si="3"/>
        <v>入力済</v>
      </c>
      <c r="AU48" s="611" t="str">
        <f t="shared" si="4"/>
        <v/>
      </c>
      <c r="AV48" s="611" t="str">
        <f t="shared" si="5"/>
        <v/>
      </c>
      <c r="AW48" s="609" t="str">
        <f t="shared" si="6"/>
        <v/>
      </c>
      <c r="AX48" s="609" t="str">
        <f t="shared" si="7"/>
        <v>入力済</v>
      </c>
      <c r="AY48" s="611" t="str">
        <f>IFERROR(VLOOKUP(K48,【参考】数式用!$AR$3:$AS$49, 2, FALSE), "")</f>
        <v/>
      </c>
      <c r="AZ48" s="609" t="str">
        <f t="shared" si="8"/>
        <v/>
      </c>
      <c r="BA48" s="612" t="str">
        <f t="shared" si="21"/>
        <v>入力済</v>
      </c>
      <c r="BB48" s="611" t="str">
        <f>IFERROR(VLOOKUP(K48,【参考】数式用!$AX$3:$AY$59, 2, FALSE), "")</f>
        <v/>
      </c>
      <c r="BC48" s="609" t="str">
        <f t="shared" si="9"/>
        <v/>
      </c>
      <c r="BD48" s="612" t="str">
        <f t="shared" si="38"/>
        <v>入力済</v>
      </c>
      <c r="BE48" s="612" t="str">
        <f t="shared" si="10"/>
        <v/>
      </c>
      <c r="BF48" s="612" t="str">
        <f t="shared" si="11"/>
        <v/>
      </c>
      <c r="BG48" s="612" t="str">
        <f t="shared" si="12"/>
        <v/>
      </c>
      <c r="BH48" s="612" t="str">
        <f t="shared" si="13"/>
        <v/>
      </c>
      <c r="BI48" s="612" t="str">
        <f t="shared" si="14"/>
        <v/>
      </c>
    </row>
    <row r="49" spans="1:61" ht="109.9" customHeight="1" thickBot="1">
      <c r="A49" s="599">
        <v>38</v>
      </c>
      <c r="B49" s="913" t="str">
        <f>IF(基本情報入力シート!B77="","",基本情報入力シート!B77)</f>
        <v/>
      </c>
      <c r="C49" s="914"/>
      <c r="D49" s="914"/>
      <c r="E49" s="914"/>
      <c r="F49" s="915"/>
      <c r="G49" s="600" t="str">
        <f>IF(基本情報入力シート!L77="", "", 基本情報入力シート!L77)</f>
        <v/>
      </c>
      <c r="H49" s="600" t="str">
        <f>IF(基本情報入力シート!Q77="", "", 基本情報入力シート!Q77)</f>
        <v/>
      </c>
      <c r="I49" s="600" t="str">
        <f>IF(基本情報入力シート!V77="", "", 基本情報入力シート!V77)</f>
        <v/>
      </c>
      <c r="J49" s="600" t="str">
        <f>IF(基本情報入力シート!W77="", "", 基本情報入力シート!W77)</f>
        <v/>
      </c>
      <c r="K49" s="600"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01" t="s">
        <v>170</v>
      </c>
      <c r="Q49" s="225"/>
      <c r="R49" s="602" t="s">
        <v>253</v>
      </c>
      <c r="S49" s="225"/>
      <c r="T49" s="602" t="s">
        <v>254</v>
      </c>
      <c r="U49" s="225"/>
      <c r="V49" s="602" t="s">
        <v>253</v>
      </c>
      <c r="W49" s="225"/>
      <c r="X49" s="602" t="s">
        <v>255</v>
      </c>
      <c r="Y49" s="602" t="s">
        <v>256</v>
      </c>
      <c r="Z49" s="602" t="str">
        <f t="shared" si="15"/>
        <v/>
      </c>
      <c r="AA49" s="603" t="s">
        <v>257</v>
      </c>
      <c r="AB49" s="604" t="str">
        <f t="shared" si="16"/>
        <v/>
      </c>
      <c r="AC49" s="605" t="str">
        <f>IFERROR(ROUNDDOWN(ROUNDDOWN(ROUND(L49*VLOOKUP(K49,【参考】数式用!$A$2:$M$57,MATCH("処遇改善加算Ⅳ",【参考】数式用!$G$3:$M$3,0)+6,0),0)*M49,0)*Z49*0.5,0), "")</f>
        <v/>
      </c>
      <c r="AD49" s="245"/>
      <c r="AE49" s="246"/>
      <c r="AF49" s="246"/>
      <c r="AG49" s="247"/>
      <c r="AH49" s="248"/>
      <c r="AI49" s="249"/>
      <c r="AJ49" s="250"/>
      <c r="AK49" s="606" t="str">
        <f t="shared" si="17"/>
        <v/>
      </c>
      <c r="AL49" s="607" t="str">
        <f t="shared" si="0"/>
        <v/>
      </c>
      <c r="AM49" s="608"/>
      <c r="AN49" s="609" t="str">
        <f>IFERROR(VLOOKUP(K49,【参考】数式用!$A$2:$N$57,14,FALSE),"")</f>
        <v/>
      </c>
      <c r="AO49" s="609" t="str">
        <f t="shared" si="1"/>
        <v/>
      </c>
      <c r="AP49" s="610" t="str">
        <f t="shared" si="18"/>
        <v/>
      </c>
      <c r="AQ49" s="610" t="str">
        <f t="shared" si="19"/>
        <v>キャリアパス要件Ⅰ・Ⅱ_</v>
      </c>
      <c r="AR49" s="611" t="str">
        <f t="shared" si="20"/>
        <v>入力済</v>
      </c>
      <c r="AS49" s="609" t="str">
        <f t="shared" si="2"/>
        <v/>
      </c>
      <c r="AT49" s="611" t="str">
        <f t="shared" si="3"/>
        <v>入力済</v>
      </c>
      <c r="AU49" s="611" t="str">
        <f t="shared" si="4"/>
        <v/>
      </c>
      <c r="AV49" s="611" t="str">
        <f t="shared" si="5"/>
        <v/>
      </c>
      <c r="AW49" s="609" t="str">
        <f t="shared" si="6"/>
        <v/>
      </c>
      <c r="AX49" s="609" t="str">
        <f t="shared" si="7"/>
        <v>入力済</v>
      </c>
      <c r="AY49" s="611" t="str">
        <f>IFERROR(VLOOKUP(K49,【参考】数式用!$AR$3:$AS$49, 2, FALSE), "")</f>
        <v/>
      </c>
      <c r="AZ49" s="609" t="str">
        <f t="shared" si="8"/>
        <v/>
      </c>
      <c r="BA49" s="612" t="str">
        <f t="shared" si="21"/>
        <v>入力済</v>
      </c>
      <c r="BB49" s="611" t="str">
        <f>IFERROR(VLOOKUP(K49,【参考】数式用!$AX$3:$AY$59, 2, FALSE), "")</f>
        <v/>
      </c>
      <c r="BC49" s="609" t="str">
        <f t="shared" si="9"/>
        <v/>
      </c>
      <c r="BD49" s="612" t="str">
        <f t="shared" si="38"/>
        <v>入力済</v>
      </c>
      <c r="BE49" s="612" t="str">
        <f t="shared" si="10"/>
        <v/>
      </c>
      <c r="BF49" s="612" t="str">
        <f t="shared" si="11"/>
        <v/>
      </c>
      <c r="BG49" s="612" t="str">
        <f t="shared" si="12"/>
        <v/>
      </c>
      <c r="BH49" s="612" t="str">
        <f t="shared" si="13"/>
        <v/>
      </c>
      <c r="BI49" s="612" t="str">
        <f t="shared" si="14"/>
        <v/>
      </c>
    </row>
    <row r="50" spans="1:61" ht="109.9" customHeight="1" thickBot="1">
      <c r="A50" s="599">
        <v>39</v>
      </c>
      <c r="B50" s="913" t="str">
        <f>IF(基本情報入力シート!B78="","",基本情報入力シート!B78)</f>
        <v/>
      </c>
      <c r="C50" s="914"/>
      <c r="D50" s="914"/>
      <c r="E50" s="914"/>
      <c r="F50" s="915"/>
      <c r="G50" s="600" t="str">
        <f>IF(基本情報入力シート!L78="", "", 基本情報入力シート!L78)</f>
        <v/>
      </c>
      <c r="H50" s="600" t="str">
        <f>IF(基本情報入力シート!Q78="", "", 基本情報入力シート!Q78)</f>
        <v/>
      </c>
      <c r="I50" s="600" t="str">
        <f>IF(基本情報入力シート!V78="", "", 基本情報入力シート!V78)</f>
        <v/>
      </c>
      <c r="J50" s="600" t="str">
        <f>IF(基本情報入力シート!W78="", "", 基本情報入力シート!W78)</f>
        <v/>
      </c>
      <c r="K50" s="600"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01" t="s">
        <v>170</v>
      </c>
      <c r="Q50" s="225"/>
      <c r="R50" s="602" t="s">
        <v>253</v>
      </c>
      <c r="S50" s="225"/>
      <c r="T50" s="602" t="s">
        <v>254</v>
      </c>
      <c r="U50" s="225"/>
      <c r="V50" s="602" t="s">
        <v>253</v>
      </c>
      <c r="W50" s="225"/>
      <c r="X50" s="602" t="s">
        <v>255</v>
      </c>
      <c r="Y50" s="602" t="s">
        <v>256</v>
      </c>
      <c r="Z50" s="602" t="str">
        <f t="shared" si="15"/>
        <v/>
      </c>
      <c r="AA50" s="603" t="s">
        <v>257</v>
      </c>
      <c r="AB50" s="604" t="str">
        <f t="shared" si="16"/>
        <v/>
      </c>
      <c r="AC50" s="605" t="str">
        <f>IFERROR(ROUNDDOWN(ROUNDDOWN(ROUND(L50*VLOOKUP(K50,【参考】数式用!$A$2:$M$57,MATCH("処遇改善加算Ⅳ",【参考】数式用!$G$3:$M$3,0)+6,0),0)*M50,0)*Z50*0.5,0), "")</f>
        <v/>
      </c>
      <c r="AD50" s="245"/>
      <c r="AE50" s="246"/>
      <c r="AF50" s="246"/>
      <c r="AG50" s="247"/>
      <c r="AH50" s="248"/>
      <c r="AI50" s="249"/>
      <c r="AJ50" s="250"/>
      <c r="AK50" s="606" t="str">
        <f t="shared" si="17"/>
        <v/>
      </c>
      <c r="AL50" s="607" t="str">
        <f t="shared" si="0"/>
        <v/>
      </c>
      <c r="AM50" s="608"/>
      <c r="AN50" s="609" t="str">
        <f>IFERROR(VLOOKUP(K50,【参考】数式用!$A$2:$N$57,14,FALSE),"")</f>
        <v/>
      </c>
      <c r="AO50" s="609" t="str">
        <f t="shared" si="1"/>
        <v/>
      </c>
      <c r="AP50" s="610" t="str">
        <f t="shared" si="18"/>
        <v/>
      </c>
      <c r="AQ50" s="610" t="str">
        <f t="shared" si="19"/>
        <v>キャリアパス要件Ⅰ・Ⅱ_</v>
      </c>
      <c r="AR50" s="611" t="str">
        <f t="shared" si="20"/>
        <v>入力済</v>
      </c>
      <c r="AS50" s="609" t="str">
        <f t="shared" si="2"/>
        <v/>
      </c>
      <c r="AT50" s="611" t="str">
        <f t="shared" si="3"/>
        <v>入力済</v>
      </c>
      <c r="AU50" s="611" t="str">
        <f t="shared" si="4"/>
        <v/>
      </c>
      <c r="AV50" s="611" t="str">
        <f t="shared" si="5"/>
        <v/>
      </c>
      <c r="AW50" s="609" t="str">
        <f t="shared" si="6"/>
        <v/>
      </c>
      <c r="AX50" s="609" t="str">
        <f t="shared" si="7"/>
        <v>入力済</v>
      </c>
      <c r="AY50" s="611" t="str">
        <f>IFERROR(VLOOKUP(K50,【参考】数式用!$AR$3:$AS$49, 2, FALSE), "")</f>
        <v/>
      </c>
      <c r="AZ50" s="609" t="str">
        <f t="shared" si="8"/>
        <v/>
      </c>
      <c r="BA50" s="612" t="str">
        <f t="shared" si="21"/>
        <v>入力済</v>
      </c>
      <c r="BB50" s="611" t="str">
        <f>IFERROR(VLOOKUP(K50,【参考】数式用!$AX$3:$AY$59, 2, FALSE), "")</f>
        <v/>
      </c>
      <c r="BC50" s="609" t="str">
        <f t="shared" si="9"/>
        <v/>
      </c>
      <c r="BD50" s="612" t="str">
        <f t="shared" si="38"/>
        <v>入力済</v>
      </c>
      <c r="BE50" s="612" t="str">
        <f t="shared" si="10"/>
        <v/>
      </c>
      <c r="BF50" s="612" t="str">
        <f t="shared" si="11"/>
        <v/>
      </c>
      <c r="BG50" s="612" t="str">
        <f t="shared" si="12"/>
        <v/>
      </c>
      <c r="BH50" s="612" t="str">
        <f t="shared" si="13"/>
        <v/>
      </c>
      <c r="BI50" s="612" t="str">
        <f t="shared" si="14"/>
        <v/>
      </c>
    </row>
    <row r="51" spans="1:61" ht="109.9" customHeight="1" thickBot="1">
      <c r="A51" s="599">
        <v>40</v>
      </c>
      <c r="B51" s="913" t="str">
        <f>IF(基本情報入力シート!B79="","",基本情報入力シート!B79)</f>
        <v/>
      </c>
      <c r="C51" s="914"/>
      <c r="D51" s="914"/>
      <c r="E51" s="914"/>
      <c r="F51" s="915"/>
      <c r="G51" s="600" t="str">
        <f>IF(基本情報入力シート!L79="", "", 基本情報入力シート!L79)</f>
        <v/>
      </c>
      <c r="H51" s="600" t="str">
        <f>IF(基本情報入力シート!Q79="", "", 基本情報入力シート!Q79)</f>
        <v/>
      </c>
      <c r="I51" s="600" t="str">
        <f>IF(基本情報入力シート!V79="", "", 基本情報入力シート!V79)</f>
        <v/>
      </c>
      <c r="J51" s="600" t="str">
        <f>IF(基本情報入力シート!W79="", "", 基本情報入力シート!W79)</f>
        <v/>
      </c>
      <c r="K51" s="600"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01" t="s">
        <v>170</v>
      </c>
      <c r="Q51" s="225"/>
      <c r="R51" s="602" t="s">
        <v>253</v>
      </c>
      <c r="S51" s="225"/>
      <c r="T51" s="602" t="s">
        <v>254</v>
      </c>
      <c r="U51" s="225"/>
      <c r="V51" s="602" t="s">
        <v>253</v>
      </c>
      <c r="W51" s="225"/>
      <c r="X51" s="602" t="s">
        <v>255</v>
      </c>
      <c r="Y51" s="602" t="s">
        <v>256</v>
      </c>
      <c r="Z51" s="602" t="str">
        <f t="shared" si="15"/>
        <v/>
      </c>
      <c r="AA51" s="603" t="s">
        <v>257</v>
      </c>
      <c r="AB51" s="604" t="str">
        <f t="shared" si="16"/>
        <v/>
      </c>
      <c r="AC51" s="605" t="str">
        <f>IFERROR(ROUNDDOWN(ROUNDDOWN(ROUND(L51*VLOOKUP(K51,【参考】数式用!$A$2:$M$57,MATCH("処遇改善加算Ⅳ",【参考】数式用!$G$3:$M$3,0)+6,0),0)*M51,0)*Z51*0.5,0), "")</f>
        <v/>
      </c>
      <c r="AD51" s="245"/>
      <c r="AE51" s="246"/>
      <c r="AF51" s="246"/>
      <c r="AG51" s="247"/>
      <c r="AH51" s="248"/>
      <c r="AI51" s="249"/>
      <c r="AJ51" s="250"/>
      <c r="AK51" s="606" t="str">
        <f t="shared" si="17"/>
        <v/>
      </c>
      <c r="AL51" s="607" t="str">
        <f t="shared" si="0"/>
        <v/>
      </c>
      <c r="AM51" s="608"/>
      <c r="AN51" s="609" t="str">
        <f>IFERROR(VLOOKUP(K51,【参考】数式用!$A$2:$N$57,14,FALSE),"")</f>
        <v/>
      </c>
      <c r="AO51" s="609" t="str">
        <f t="shared" si="1"/>
        <v/>
      </c>
      <c r="AP51" s="610" t="str">
        <f t="shared" si="18"/>
        <v/>
      </c>
      <c r="AQ51" s="610" t="str">
        <f t="shared" si="19"/>
        <v>キャリアパス要件Ⅰ・Ⅱ_</v>
      </c>
      <c r="AR51" s="611" t="str">
        <f t="shared" si="20"/>
        <v>入力済</v>
      </c>
      <c r="AS51" s="609" t="str">
        <f t="shared" si="2"/>
        <v/>
      </c>
      <c r="AT51" s="611" t="str">
        <f t="shared" si="3"/>
        <v>入力済</v>
      </c>
      <c r="AU51" s="611" t="str">
        <f t="shared" si="4"/>
        <v/>
      </c>
      <c r="AV51" s="611" t="str">
        <f t="shared" si="5"/>
        <v/>
      </c>
      <c r="AW51" s="609" t="str">
        <f t="shared" si="6"/>
        <v/>
      </c>
      <c r="AX51" s="609" t="str">
        <f t="shared" si="7"/>
        <v>入力済</v>
      </c>
      <c r="AY51" s="611" t="str">
        <f>IFERROR(VLOOKUP(K51,【参考】数式用!$AR$3:$AS$49, 2, FALSE), "")</f>
        <v/>
      </c>
      <c r="AZ51" s="609" t="str">
        <f t="shared" si="8"/>
        <v/>
      </c>
      <c r="BA51" s="612" t="str">
        <f t="shared" si="21"/>
        <v>入力済</v>
      </c>
      <c r="BB51" s="611" t="str">
        <f>IFERROR(VLOOKUP(K51,【参考】数式用!$AX$3:$AY$59, 2, FALSE), "")</f>
        <v/>
      </c>
      <c r="BC51" s="609" t="str">
        <f t="shared" si="9"/>
        <v/>
      </c>
      <c r="BD51" s="612" t="str">
        <f t="shared" si="38"/>
        <v>入力済</v>
      </c>
      <c r="BE51" s="612" t="str">
        <f t="shared" si="10"/>
        <v/>
      </c>
      <c r="BF51" s="612" t="str">
        <f t="shared" si="11"/>
        <v/>
      </c>
      <c r="BG51" s="612" t="str">
        <f t="shared" si="12"/>
        <v/>
      </c>
      <c r="BH51" s="612" t="str">
        <f t="shared" si="13"/>
        <v/>
      </c>
      <c r="BI51" s="612" t="str">
        <f t="shared" si="14"/>
        <v/>
      </c>
    </row>
    <row r="52" spans="1:61" ht="109.9" customHeight="1" thickBot="1">
      <c r="A52" s="599">
        <v>41</v>
      </c>
      <c r="B52" s="913" t="str">
        <f>IF(基本情報入力シート!B80="","",基本情報入力シート!B80)</f>
        <v/>
      </c>
      <c r="C52" s="914"/>
      <c r="D52" s="914"/>
      <c r="E52" s="914"/>
      <c r="F52" s="915"/>
      <c r="G52" s="600" t="str">
        <f>IF(基本情報入力シート!L80="", "", 基本情報入力シート!L80)</f>
        <v/>
      </c>
      <c r="H52" s="600" t="str">
        <f>IF(基本情報入力シート!Q80="", "", 基本情報入力シート!Q80)</f>
        <v/>
      </c>
      <c r="I52" s="600" t="str">
        <f>IF(基本情報入力シート!V80="", "", 基本情報入力シート!V80)</f>
        <v/>
      </c>
      <c r="J52" s="600" t="str">
        <f>IF(基本情報入力シート!W80="", "", 基本情報入力シート!W80)</f>
        <v/>
      </c>
      <c r="K52" s="600"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01" t="s">
        <v>170</v>
      </c>
      <c r="Q52" s="225"/>
      <c r="R52" s="602" t="s">
        <v>253</v>
      </c>
      <c r="S52" s="225"/>
      <c r="T52" s="602" t="s">
        <v>254</v>
      </c>
      <c r="U52" s="225"/>
      <c r="V52" s="602" t="s">
        <v>253</v>
      </c>
      <c r="W52" s="225"/>
      <c r="X52" s="602" t="s">
        <v>172</v>
      </c>
      <c r="Y52" s="602" t="s">
        <v>256</v>
      </c>
      <c r="Z52" s="602" t="str">
        <f t="shared" si="15"/>
        <v/>
      </c>
      <c r="AA52" s="603" t="s">
        <v>257</v>
      </c>
      <c r="AB52" s="604" t="str">
        <f t="shared" si="16"/>
        <v/>
      </c>
      <c r="AC52" s="605" t="str">
        <f>IFERROR(ROUNDDOWN(ROUNDDOWN(ROUND(L52*VLOOKUP(K52,【参考】数式用!$A$2:$M$57,MATCH("処遇改善加算Ⅳ",【参考】数式用!$G$3:$M$3,0)+6,0),0)*M52,0)*Z52*0.5,0), "")</f>
        <v/>
      </c>
      <c r="AD52" s="245"/>
      <c r="AE52" s="246"/>
      <c r="AF52" s="246"/>
      <c r="AG52" s="247"/>
      <c r="AH52" s="248"/>
      <c r="AI52" s="249"/>
      <c r="AJ52" s="250"/>
      <c r="AK52" s="606" t="str">
        <f t="shared" si="17"/>
        <v/>
      </c>
      <c r="AL52" s="607" t="str">
        <f t="shared" si="0"/>
        <v/>
      </c>
      <c r="AM52" s="608"/>
      <c r="AN52" s="609" t="str">
        <f>IFERROR(VLOOKUP(K52,【参考】数式用!$A$2:$N$57,14,FALSE),"")</f>
        <v/>
      </c>
      <c r="AO52" s="609" t="str">
        <f t="shared" si="1"/>
        <v/>
      </c>
      <c r="AP52" s="610" t="str">
        <f t="shared" si="18"/>
        <v/>
      </c>
      <c r="AQ52" s="610" t="str">
        <f t="shared" si="19"/>
        <v>キャリアパス要件Ⅰ・Ⅱ_</v>
      </c>
      <c r="AR52" s="611" t="str">
        <f t="shared" si="20"/>
        <v>入力済</v>
      </c>
      <c r="AS52" s="609" t="str">
        <f t="shared" si="2"/>
        <v/>
      </c>
      <c r="AT52" s="611" t="str">
        <f t="shared" si="3"/>
        <v>入力済</v>
      </c>
      <c r="AU52" s="611" t="str">
        <f t="shared" si="4"/>
        <v/>
      </c>
      <c r="AV52" s="611" t="str">
        <f t="shared" si="5"/>
        <v/>
      </c>
      <c r="AW52" s="609" t="str">
        <f t="shared" si="6"/>
        <v/>
      </c>
      <c r="AX52" s="609" t="str">
        <f t="shared" si="7"/>
        <v>入力済</v>
      </c>
      <c r="AY52" s="611" t="str">
        <f>IFERROR(VLOOKUP(K52,【参考】数式用!$AR$3:$AS$49, 2, FALSE), "")</f>
        <v/>
      </c>
      <c r="AZ52" s="609" t="str">
        <f t="shared" si="8"/>
        <v/>
      </c>
      <c r="BA52" s="612" t="str">
        <f t="shared" si="21"/>
        <v>入力済</v>
      </c>
      <c r="BB52" s="611" t="str">
        <f>IFERROR(VLOOKUP(K52,【参考】数式用!$AX$3:$AY$59, 2, FALSE), "")</f>
        <v/>
      </c>
      <c r="BC52" s="609" t="str">
        <f t="shared" si="9"/>
        <v/>
      </c>
      <c r="BD52" s="612" t="str">
        <f t="shared" si="38"/>
        <v>入力済</v>
      </c>
      <c r="BE52" s="612" t="str">
        <f t="shared" si="10"/>
        <v/>
      </c>
      <c r="BF52" s="612" t="str">
        <f t="shared" si="11"/>
        <v/>
      </c>
      <c r="BG52" s="612" t="str">
        <f t="shared" si="12"/>
        <v/>
      </c>
      <c r="BH52" s="612" t="str">
        <f t="shared" si="13"/>
        <v/>
      </c>
      <c r="BI52" s="612" t="str">
        <f t="shared" si="14"/>
        <v/>
      </c>
    </row>
    <row r="53" spans="1:61" ht="109.9" customHeight="1" thickBot="1">
      <c r="A53" s="599">
        <v>42</v>
      </c>
      <c r="B53" s="913" t="str">
        <f>IF(基本情報入力シート!B81="","",基本情報入力シート!B81)</f>
        <v/>
      </c>
      <c r="C53" s="914"/>
      <c r="D53" s="914"/>
      <c r="E53" s="914"/>
      <c r="F53" s="915"/>
      <c r="G53" s="600" t="str">
        <f>IF(基本情報入力シート!L81="", "", 基本情報入力シート!L81)</f>
        <v/>
      </c>
      <c r="H53" s="600" t="str">
        <f>IF(基本情報入力シート!Q81="", "", 基本情報入力シート!Q81)</f>
        <v/>
      </c>
      <c r="I53" s="600" t="str">
        <f>IF(基本情報入力シート!V81="", "", 基本情報入力シート!V81)</f>
        <v/>
      </c>
      <c r="J53" s="600" t="str">
        <f>IF(基本情報入力シート!W81="", "", 基本情報入力シート!W81)</f>
        <v/>
      </c>
      <c r="K53" s="600"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01" t="s">
        <v>170</v>
      </c>
      <c r="Q53" s="225"/>
      <c r="R53" s="602" t="s">
        <v>253</v>
      </c>
      <c r="S53" s="225"/>
      <c r="T53" s="602" t="s">
        <v>254</v>
      </c>
      <c r="U53" s="225"/>
      <c r="V53" s="602" t="s">
        <v>253</v>
      </c>
      <c r="W53" s="225"/>
      <c r="X53" s="602" t="s">
        <v>172</v>
      </c>
      <c r="Y53" s="602" t="s">
        <v>256</v>
      </c>
      <c r="Z53" s="602" t="str">
        <f t="shared" si="15"/>
        <v/>
      </c>
      <c r="AA53" s="603" t="s">
        <v>257</v>
      </c>
      <c r="AB53" s="604" t="str">
        <f t="shared" si="16"/>
        <v/>
      </c>
      <c r="AC53" s="605" t="str">
        <f>IFERROR(ROUNDDOWN(ROUNDDOWN(ROUND(L53*VLOOKUP(K53,【参考】数式用!$A$2:$M$57,MATCH("処遇改善加算Ⅳ",【参考】数式用!$G$3:$M$3,0)+6,0),0)*M53,0)*Z53*0.5,0), "")</f>
        <v/>
      </c>
      <c r="AD53" s="245"/>
      <c r="AE53" s="246"/>
      <c r="AF53" s="246"/>
      <c r="AG53" s="247"/>
      <c r="AH53" s="248"/>
      <c r="AI53" s="249"/>
      <c r="AJ53" s="250"/>
      <c r="AK53" s="606" t="str">
        <f t="shared" si="17"/>
        <v/>
      </c>
      <c r="AL53" s="607" t="str">
        <f t="shared" si="0"/>
        <v/>
      </c>
      <c r="AM53" s="608"/>
      <c r="AN53" s="609" t="str">
        <f>IFERROR(VLOOKUP(K53,【参考】数式用!$A$2:$N$57,14,FALSE),"")</f>
        <v/>
      </c>
      <c r="AO53" s="609" t="str">
        <f t="shared" si="1"/>
        <v/>
      </c>
      <c r="AP53" s="610" t="str">
        <f t="shared" si="18"/>
        <v/>
      </c>
      <c r="AQ53" s="610" t="str">
        <f t="shared" si="19"/>
        <v>キャリアパス要件Ⅰ・Ⅱ_</v>
      </c>
      <c r="AR53" s="611" t="str">
        <f t="shared" si="20"/>
        <v>入力済</v>
      </c>
      <c r="AS53" s="609" t="str">
        <f t="shared" si="2"/>
        <v/>
      </c>
      <c r="AT53" s="611" t="str">
        <f t="shared" si="3"/>
        <v>入力済</v>
      </c>
      <c r="AU53" s="611" t="str">
        <f t="shared" si="4"/>
        <v/>
      </c>
      <c r="AV53" s="611" t="str">
        <f t="shared" si="5"/>
        <v/>
      </c>
      <c r="AW53" s="609" t="str">
        <f t="shared" si="6"/>
        <v/>
      </c>
      <c r="AX53" s="609" t="str">
        <f t="shared" si="7"/>
        <v>入力済</v>
      </c>
      <c r="AY53" s="611" t="str">
        <f>IFERROR(VLOOKUP(K53,【参考】数式用!$AR$3:$AS$49, 2, FALSE), "")</f>
        <v/>
      </c>
      <c r="AZ53" s="609" t="str">
        <f t="shared" si="8"/>
        <v/>
      </c>
      <c r="BA53" s="612" t="str">
        <f t="shared" si="21"/>
        <v>入力済</v>
      </c>
      <c r="BB53" s="611" t="str">
        <f>IFERROR(VLOOKUP(K53,【参考】数式用!$AX$3:$AY$59, 2, FALSE), "")</f>
        <v/>
      </c>
      <c r="BC53" s="609" t="str">
        <f t="shared" si="9"/>
        <v/>
      </c>
      <c r="BD53" s="612" t="str">
        <f t="shared" si="38"/>
        <v>入力済</v>
      </c>
      <c r="BE53" s="612" t="str">
        <f t="shared" si="10"/>
        <v/>
      </c>
      <c r="BF53" s="612" t="str">
        <f t="shared" si="11"/>
        <v/>
      </c>
      <c r="BG53" s="612" t="str">
        <f t="shared" si="12"/>
        <v/>
      </c>
      <c r="BH53" s="612" t="str">
        <f t="shared" si="13"/>
        <v/>
      </c>
      <c r="BI53" s="612" t="str">
        <f t="shared" si="14"/>
        <v/>
      </c>
    </row>
    <row r="54" spans="1:61" ht="109.9" customHeight="1" thickBot="1">
      <c r="A54" s="599">
        <v>43</v>
      </c>
      <c r="B54" s="913" t="str">
        <f>IF(基本情報入力シート!B82="","",基本情報入力シート!B82)</f>
        <v/>
      </c>
      <c r="C54" s="914"/>
      <c r="D54" s="914"/>
      <c r="E54" s="914"/>
      <c r="F54" s="915"/>
      <c r="G54" s="600" t="str">
        <f>IF(基本情報入力シート!L82="", "", 基本情報入力シート!L82)</f>
        <v/>
      </c>
      <c r="H54" s="600" t="str">
        <f>IF(基本情報入力シート!Q82="", "", 基本情報入力シート!Q82)</f>
        <v/>
      </c>
      <c r="I54" s="600" t="str">
        <f>IF(基本情報入力シート!V82="", "", 基本情報入力シート!V82)</f>
        <v/>
      </c>
      <c r="J54" s="600" t="str">
        <f>IF(基本情報入力シート!W82="", "", 基本情報入力シート!W82)</f>
        <v/>
      </c>
      <c r="K54" s="600"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01" t="s">
        <v>170</v>
      </c>
      <c r="Q54" s="225"/>
      <c r="R54" s="602" t="s">
        <v>253</v>
      </c>
      <c r="S54" s="225"/>
      <c r="T54" s="602" t="s">
        <v>254</v>
      </c>
      <c r="U54" s="225"/>
      <c r="V54" s="602" t="s">
        <v>253</v>
      </c>
      <c r="W54" s="225"/>
      <c r="X54" s="602" t="s">
        <v>255</v>
      </c>
      <c r="Y54" s="602" t="s">
        <v>256</v>
      </c>
      <c r="Z54" s="602" t="str">
        <f t="shared" si="15"/>
        <v/>
      </c>
      <c r="AA54" s="603" t="s">
        <v>257</v>
      </c>
      <c r="AB54" s="604" t="str">
        <f t="shared" si="16"/>
        <v/>
      </c>
      <c r="AC54" s="605" t="str">
        <f>IFERROR(ROUNDDOWN(ROUNDDOWN(ROUND(L54*VLOOKUP(K54,【参考】数式用!$A$2:$M$57,MATCH("処遇改善加算Ⅳ",【参考】数式用!$G$3:$M$3,0)+6,0),0)*M54,0)*Z54*0.5,0), "")</f>
        <v/>
      </c>
      <c r="AD54" s="245"/>
      <c r="AE54" s="246"/>
      <c r="AF54" s="246"/>
      <c r="AG54" s="247"/>
      <c r="AH54" s="248"/>
      <c r="AI54" s="249"/>
      <c r="AJ54" s="250"/>
      <c r="AK54" s="606" t="str">
        <f t="shared" si="17"/>
        <v/>
      </c>
      <c r="AL54" s="607" t="str">
        <f t="shared" si="0"/>
        <v/>
      </c>
      <c r="AM54" s="608"/>
      <c r="AN54" s="609" t="str">
        <f>IFERROR(VLOOKUP(K54,【参考】数式用!$A$2:$N$57,14,FALSE),"")</f>
        <v/>
      </c>
      <c r="AO54" s="609" t="str">
        <f t="shared" si="1"/>
        <v/>
      </c>
      <c r="AP54" s="610" t="str">
        <f t="shared" si="18"/>
        <v/>
      </c>
      <c r="AQ54" s="610" t="str">
        <f t="shared" si="19"/>
        <v>キャリアパス要件Ⅰ・Ⅱ_</v>
      </c>
      <c r="AR54" s="611" t="str">
        <f t="shared" si="20"/>
        <v>入力済</v>
      </c>
      <c r="AS54" s="609" t="str">
        <f t="shared" si="2"/>
        <v/>
      </c>
      <c r="AT54" s="611" t="str">
        <f t="shared" si="3"/>
        <v>入力済</v>
      </c>
      <c r="AU54" s="611" t="str">
        <f t="shared" si="4"/>
        <v/>
      </c>
      <c r="AV54" s="611" t="str">
        <f t="shared" si="5"/>
        <v/>
      </c>
      <c r="AW54" s="609" t="str">
        <f t="shared" si="6"/>
        <v/>
      </c>
      <c r="AX54" s="609" t="str">
        <f t="shared" si="7"/>
        <v>入力済</v>
      </c>
      <c r="AY54" s="611" t="str">
        <f>IFERROR(VLOOKUP(K54,【参考】数式用!$AR$3:$AS$49, 2, FALSE), "")</f>
        <v/>
      </c>
      <c r="AZ54" s="609" t="str">
        <f t="shared" si="8"/>
        <v/>
      </c>
      <c r="BA54" s="612" t="str">
        <f t="shared" si="21"/>
        <v>入力済</v>
      </c>
      <c r="BB54" s="611" t="str">
        <f>IFERROR(VLOOKUP(K54,【参考】数式用!$AX$3:$AY$59, 2, FALSE), "")</f>
        <v/>
      </c>
      <c r="BC54" s="609" t="str">
        <f t="shared" si="9"/>
        <v/>
      </c>
      <c r="BD54" s="612" t="str">
        <f t="shared" si="38"/>
        <v>入力済</v>
      </c>
      <c r="BE54" s="612" t="str">
        <f t="shared" si="10"/>
        <v/>
      </c>
      <c r="BF54" s="612" t="str">
        <f t="shared" si="11"/>
        <v/>
      </c>
      <c r="BG54" s="612" t="str">
        <f t="shared" si="12"/>
        <v/>
      </c>
      <c r="BH54" s="612" t="str">
        <f t="shared" si="13"/>
        <v/>
      </c>
      <c r="BI54" s="612" t="str">
        <f t="shared" si="14"/>
        <v/>
      </c>
    </row>
    <row r="55" spans="1:61" ht="109.9" customHeight="1" thickBot="1">
      <c r="A55" s="599">
        <v>44</v>
      </c>
      <c r="B55" s="913" t="str">
        <f>IF(基本情報入力シート!B83="","",基本情報入力シート!B83)</f>
        <v/>
      </c>
      <c r="C55" s="914"/>
      <c r="D55" s="914"/>
      <c r="E55" s="914"/>
      <c r="F55" s="915"/>
      <c r="G55" s="600" t="str">
        <f>IF(基本情報入力シート!L83="", "", 基本情報入力シート!L83)</f>
        <v/>
      </c>
      <c r="H55" s="600" t="str">
        <f>IF(基本情報入力シート!Q83="", "", 基本情報入力シート!Q83)</f>
        <v/>
      </c>
      <c r="I55" s="600" t="str">
        <f>IF(基本情報入力シート!V83="", "", 基本情報入力シート!V83)</f>
        <v/>
      </c>
      <c r="J55" s="600" t="str">
        <f>IF(基本情報入力シート!W83="", "", 基本情報入力シート!W83)</f>
        <v/>
      </c>
      <c r="K55" s="600"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01" t="s">
        <v>170</v>
      </c>
      <c r="Q55" s="225"/>
      <c r="R55" s="602" t="s">
        <v>253</v>
      </c>
      <c r="S55" s="225"/>
      <c r="T55" s="602" t="s">
        <v>254</v>
      </c>
      <c r="U55" s="225"/>
      <c r="V55" s="602" t="s">
        <v>253</v>
      </c>
      <c r="W55" s="225"/>
      <c r="X55" s="602" t="s">
        <v>255</v>
      </c>
      <c r="Y55" s="602" t="s">
        <v>256</v>
      </c>
      <c r="Z55" s="602" t="str">
        <f t="shared" si="15"/>
        <v/>
      </c>
      <c r="AA55" s="603" t="s">
        <v>257</v>
      </c>
      <c r="AB55" s="604" t="str">
        <f t="shared" si="16"/>
        <v/>
      </c>
      <c r="AC55" s="605" t="str">
        <f>IFERROR(ROUNDDOWN(ROUNDDOWN(ROUND(L55*VLOOKUP(K55,【参考】数式用!$A$2:$M$57,MATCH("処遇改善加算Ⅳ",【参考】数式用!$G$3:$M$3,0)+6,0),0)*M55,0)*Z55*0.5,0), "")</f>
        <v/>
      </c>
      <c r="AD55" s="245"/>
      <c r="AE55" s="246"/>
      <c r="AF55" s="246"/>
      <c r="AG55" s="247"/>
      <c r="AH55" s="248"/>
      <c r="AI55" s="249"/>
      <c r="AJ55" s="250"/>
      <c r="AK55" s="606" t="str">
        <f t="shared" si="17"/>
        <v/>
      </c>
      <c r="AL55" s="607" t="str">
        <f t="shared" si="0"/>
        <v/>
      </c>
      <c r="AM55" s="608"/>
      <c r="AN55" s="609" t="str">
        <f>IFERROR(VLOOKUP(K55,【参考】数式用!$A$2:$N$57,14,FALSE),"")</f>
        <v/>
      </c>
      <c r="AO55" s="609" t="str">
        <f t="shared" si="1"/>
        <v/>
      </c>
      <c r="AP55" s="610" t="str">
        <f t="shared" si="18"/>
        <v/>
      </c>
      <c r="AQ55" s="610" t="str">
        <f t="shared" si="19"/>
        <v>キャリアパス要件Ⅰ・Ⅱ_</v>
      </c>
      <c r="AR55" s="611" t="str">
        <f t="shared" si="20"/>
        <v>入力済</v>
      </c>
      <c r="AS55" s="609" t="str">
        <f t="shared" si="2"/>
        <v/>
      </c>
      <c r="AT55" s="611" t="str">
        <f t="shared" si="3"/>
        <v>入力済</v>
      </c>
      <c r="AU55" s="611" t="str">
        <f t="shared" si="4"/>
        <v/>
      </c>
      <c r="AV55" s="611" t="str">
        <f t="shared" si="5"/>
        <v/>
      </c>
      <c r="AW55" s="609" t="str">
        <f t="shared" si="6"/>
        <v/>
      </c>
      <c r="AX55" s="609" t="str">
        <f t="shared" si="7"/>
        <v>入力済</v>
      </c>
      <c r="AY55" s="611" t="str">
        <f>IFERROR(VLOOKUP(K55,【参考】数式用!$AR$3:$AS$49, 2, FALSE), "")</f>
        <v/>
      </c>
      <c r="AZ55" s="609" t="str">
        <f t="shared" si="8"/>
        <v/>
      </c>
      <c r="BA55" s="612" t="str">
        <f t="shared" si="21"/>
        <v>入力済</v>
      </c>
      <c r="BB55" s="611" t="str">
        <f>IFERROR(VLOOKUP(K55,【参考】数式用!$AX$3:$AY$59, 2, FALSE), "")</f>
        <v/>
      </c>
      <c r="BC55" s="609" t="str">
        <f t="shared" si="9"/>
        <v/>
      </c>
      <c r="BD55" s="612" t="str">
        <f t="shared" si="38"/>
        <v>入力済</v>
      </c>
      <c r="BE55" s="612" t="str">
        <f t="shared" si="10"/>
        <v/>
      </c>
      <c r="BF55" s="612" t="str">
        <f t="shared" si="11"/>
        <v/>
      </c>
      <c r="BG55" s="612" t="str">
        <f t="shared" si="12"/>
        <v/>
      </c>
      <c r="BH55" s="612" t="str">
        <f t="shared" si="13"/>
        <v/>
      </c>
      <c r="BI55" s="612" t="str">
        <f t="shared" si="14"/>
        <v/>
      </c>
    </row>
    <row r="56" spans="1:61" ht="109.9" customHeight="1" thickBot="1">
      <c r="A56" s="599">
        <v>45</v>
      </c>
      <c r="B56" s="913" t="str">
        <f>IF(基本情報入力シート!B84="","",基本情報入力シート!B84)</f>
        <v/>
      </c>
      <c r="C56" s="914"/>
      <c r="D56" s="914"/>
      <c r="E56" s="914"/>
      <c r="F56" s="915"/>
      <c r="G56" s="600" t="str">
        <f>IF(基本情報入力シート!L84="", "", 基本情報入力シート!L84)</f>
        <v/>
      </c>
      <c r="H56" s="600" t="str">
        <f>IF(基本情報入力シート!Q84="", "", 基本情報入力シート!Q84)</f>
        <v/>
      </c>
      <c r="I56" s="600" t="str">
        <f>IF(基本情報入力シート!V84="", "", 基本情報入力シート!V84)</f>
        <v/>
      </c>
      <c r="J56" s="600" t="str">
        <f>IF(基本情報入力シート!W84="", "", 基本情報入力シート!W84)</f>
        <v/>
      </c>
      <c r="K56" s="600"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01" t="s">
        <v>170</v>
      </c>
      <c r="Q56" s="225"/>
      <c r="R56" s="602" t="s">
        <v>253</v>
      </c>
      <c r="S56" s="225"/>
      <c r="T56" s="602" t="s">
        <v>254</v>
      </c>
      <c r="U56" s="225"/>
      <c r="V56" s="602" t="s">
        <v>253</v>
      </c>
      <c r="W56" s="225"/>
      <c r="X56" s="602" t="s">
        <v>255</v>
      </c>
      <c r="Y56" s="602" t="s">
        <v>256</v>
      </c>
      <c r="Z56" s="602" t="str">
        <f t="shared" si="15"/>
        <v/>
      </c>
      <c r="AA56" s="603" t="s">
        <v>257</v>
      </c>
      <c r="AB56" s="604" t="str">
        <f t="shared" si="16"/>
        <v/>
      </c>
      <c r="AC56" s="605" t="str">
        <f>IFERROR(ROUNDDOWN(ROUNDDOWN(ROUND(L56*VLOOKUP(K56,【参考】数式用!$A$2:$M$57,MATCH("処遇改善加算Ⅳ",【参考】数式用!$G$3:$M$3,0)+6,0),0)*M56,0)*Z56*0.5,0), "")</f>
        <v/>
      </c>
      <c r="AD56" s="245"/>
      <c r="AE56" s="246"/>
      <c r="AF56" s="246"/>
      <c r="AG56" s="247"/>
      <c r="AH56" s="248"/>
      <c r="AI56" s="249"/>
      <c r="AJ56" s="250"/>
      <c r="AK56" s="606" t="str">
        <f t="shared" si="17"/>
        <v/>
      </c>
      <c r="AL56" s="607" t="str">
        <f t="shared" si="0"/>
        <v/>
      </c>
      <c r="AM56" s="608"/>
      <c r="AN56" s="609" t="str">
        <f>IFERROR(VLOOKUP(K56,【参考】数式用!$A$2:$N$57,14,FALSE),"")</f>
        <v/>
      </c>
      <c r="AO56" s="609" t="str">
        <f t="shared" si="1"/>
        <v/>
      </c>
      <c r="AP56" s="610" t="str">
        <f t="shared" si="18"/>
        <v/>
      </c>
      <c r="AQ56" s="610" t="str">
        <f t="shared" si="19"/>
        <v>キャリアパス要件Ⅰ・Ⅱ_</v>
      </c>
      <c r="AR56" s="611" t="str">
        <f t="shared" si="20"/>
        <v>入力済</v>
      </c>
      <c r="AS56" s="609" t="str">
        <f t="shared" si="2"/>
        <v/>
      </c>
      <c r="AT56" s="611" t="str">
        <f t="shared" si="3"/>
        <v>入力済</v>
      </c>
      <c r="AU56" s="611" t="str">
        <f t="shared" si="4"/>
        <v/>
      </c>
      <c r="AV56" s="611" t="str">
        <f t="shared" si="5"/>
        <v/>
      </c>
      <c r="AW56" s="609" t="str">
        <f t="shared" si="6"/>
        <v/>
      </c>
      <c r="AX56" s="609" t="str">
        <f t="shared" si="7"/>
        <v>入力済</v>
      </c>
      <c r="AY56" s="611" t="str">
        <f>IFERROR(VLOOKUP(K56,【参考】数式用!$AR$3:$AS$49, 2, FALSE), "")</f>
        <v/>
      </c>
      <c r="AZ56" s="609" t="str">
        <f t="shared" si="8"/>
        <v/>
      </c>
      <c r="BA56" s="612" t="str">
        <f t="shared" si="21"/>
        <v>入力済</v>
      </c>
      <c r="BB56" s="611" t="str">
        <f>IFERROR(VLOOKUP(K56,【参考】数式用!$AX$3:$AY$59, 2, FALSE), "")</f>
        <v/>
      </c>
      <c r="BC56" s="609" t="str">
        <f t="shared" si="9"/>
        <v/>
      </c>
      <c r="BD56" s="612" t="str">
        <f t="shared" si="38"/>
        <v>入力済</v>
      </c>
      <c r="BE56" s="612" t="str">
        <f t="shared" si="10"/>
        <v/>
      </c>
      <c r="BF56" s="612" t="str">
        <f t="shared" si="11"/>
        <v/>
      </c>
      <c r="BG56" s="612" t="str">
        <f t="shared" si="12"/>
        <v/>
      </c>
      <c r="BH56" s="612" t="str">
        <f t="shared" si="13"/>
        <v/>
      </c>
      <c r="BI56" s="612" t="str">
        <f t="shared" si="14"/>
        <v/>
      </c>
    </row>
    <row r="57" spans="1:61" ht="109.9" customHeight="1" thickBot="1">
      <c r="A57" s="599">
        <v>46</v>
      </c>
      <c r="B57" s="913" t="str">
        <f>IF(基本情報入力シート!B85="","",基本情報入力シート!B85)</f>
        <v/>
      </c>
      <c r="C57" s="914"/>
      <c r="D57" s="914"/>
      <c r="E57" s="914"/>
      <c r="F57" s="915"/>
      <c r="G57" s="600" t="str">
        <f>IF(基本情報入力シート!L85="", "", 基本情報入力シート!L85)</f>
        <v/>
      </c>
      <c r="H57" s="600" t="str">
        <f>IF(基本情報入力シート!Q85="", "", 基本情報入力シート!Q85)</f>
        <v/>
      </c>
      <c r="I57" s="600" t="str">
        <f>IF(基本情報入力シート!V85="", "", 基本情報入力シート!V85)</f>
        <v/>
      </c>
      <c r="J57" s="600" t="str">
        <f>IF(基本情報入力シート!W85="", "", 基本情報入力シート!W85)</f>
        <v/>
      </c>
      <c r="K57" s="600"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01" t="s">
        <v>170</v>
      </c>
      <c r="Q57" s="225"/>
      <c r="R57" s="602" t="s">
        <v>253</v>
      </c>
      <c r="S57" s="225"/>
      <c r="T57" s="602" t="s">
        <v>254</v>
      </c>
      <c r="U57" s="225"/>
      <c r="V57" s="602" t="s">
        <v>253</v>
      </c>
      <c r="W57" s="225"/>
      <c r="X57" s="602" t="s">
        <v>172</v>
      </c>
      <c r="Y57" s="602" t="s">
        <v>256</v>
      </c>
      <c r="Z57" s="602" t="str">
        <f t="shared" si="15"/>
        <v/>
      </c>
      <c r="AA57" s="603" t="s">
        <v>257</v>
      </c>
      <c r="AB57" s="604" t="str">
        <f t="shared" si="16"/>
        <v/>
      </c>
      <c r="AC57" s="605" t="str">
        <f>IFERROR(ROUNDDOWN(ROUNDDOWN(ROUND(L57*VLOOKUP(K57,【参考】数式用!$A$2:$M$57,MATCH("処遇改善加算Ⅳ",【参考】数式用!$G$3:$M$3,0)+6,0),0)*M57,0)*Z57*0.5,0), "")</f>
        <v/>
      </c>
      <c r="AD57" s="245"/>
      <c r="AE57" s="246"/>
      <c r="AF57" s="246"/>
      <c r="AG57" s="247"/>
      <c r="AH57" s="248"/>
      <c r="AI57" s="249"/>
      <c r="AJ57" s="250"/>
      <c r="AK57" s="606" t="str">
        <f t="shared" si="17"/>
        <v/>
      </c>
      <c r="AL57" s="607" t="str">
        <f t="shared" si="0"/>
        <v/>
      </c>
      <c r="AM57" s="608"/>
      <c r="AN57" s="609" t="str">
        <f>IFERROR(VLOOKUP(K57,【参考】数式用!$A$2:$N$57,14,FALSE),"")</f>
        <v/>
      </c>
      <c r="AO57" s="609" t="str">
        <f t="shared" si="1"/>
        <v/>
      </c>
      <c r="AP57" s="610" t="str">
        <f t="shared" si="18"/>
        <v/>
      </c>
      <c r="AQ57" s="610" t="str">
        <f t="shared" si="19"/>
        <v>キャリアパス要件Ⅰ・Ⅱ_</v>
      </c>
      <c r="AR57" s="611" t="str">
        <f t="shared" si="20"/>
        <v>入力済</v>
      </c>
      <c r="AS57" s="609" t="str">
        <f t="shared" si="2"/>
        <v/>
      </c>
      <c r="AT57" s="611" t="str">
        <f t="shared" si="3"/>
        <v>入力済</v>
      </c>
      <c r="AU57" s="611" t="str">
        <f t="shared" si="4"/>
        <v/>
      </c>
      <c r="AV57" s="611" t="str">
        <f t="shared" si="5"/>
        <v/>
      </c>
      <c r="AW57" s="609" t="str">
        <f t="shared" si="6"/>
        <v/>
      </c>
      <c r="AX57" s="609" t="str">
        <f t="shared" si="7"/>
        <v>入力済</v>
      </c>
      <c r="AY57" s="611" t="str">
        <f>IFERROR(VLOOKUP(K57,【参考】数式用!$AR$3:$AS$49, 2, FALSE), "")</f>
        <v/>
      </c>
      <c r="AZ57" s="609" t="str">
        <f t="shared" si="8"/>
        <v/>
      </c>
      <c r="BA57" s="612" t="str">
        <f t="shared" si="21"/>
        <v>入力済</v>
      </c>
      <c r="BB57" s="611" t="str">
        <f>IFERROR(VLOOKUP(K57,【参考】数式用!$AX$3:$AY$59, 2, FALSE), "")</f>
        <v/>
      </c>
      <c r="BC57" s="609" t="str">
        <f t="shared" si="9"/>
        <v/>
      </c>
      <c r="BD57" s="612" t="str">
        <f t="shared" si="38"/>
        <v>入力済</v>
      </c>
      <c r="BE57" s="612" t="str">
        <f t="shared" si="10"/>
        <v/>
      </c>
      <c r="BF57" s="612" t="str">
        <f t="shared" si="11"/>
        <v/>
      </c>
      <c r="BG57" s="612" t="str">
        <f t="shared" si="12"/>
        <v/>
      </c>
      <c r="BH57" s="612" t="str">
        <f t="shared" si="13"/>
        <v/>
      </c>
      <c r="BI57" s="612" t="str">
        <f t="shared" si="14"/>
        <v/>
      </c>
    </row>
    <row r="58" spans="1:61" ht="109.9" customHeight="1" thickBot="1">
      <c r="A58" s="599">
        <v>47</v>
      </c>
      <c r="B58" s="913" t="str">
        <f>IF(基本情報入力シート!B86="","",基本情報入力シート!B86)</f>
        <v/>
      </c>
      <c r="C58" s="914"/>
      <c r="D58" s="914"/>
      <c r="E58" s="914"/>
      <c r="F58" s="915"/>
      <c r="G58" s="600" t="str">
        <f>IF(基本情報入力シート!L86="", "", 基本情報入力シート!L86)</f>
        <v/>
      </c>
      <c r="H58" s="600" t="str">
        <f>IF(基本情報入力シート!Q86="", "", 基本情報入力シート!Q86)</f>
        <v/>
      </c>
      <c r="I58" s="600" t="str">
        <f>IF(基本情報入力シート!V86="", "", 基本情報入力シート!V86)</f>
        <v/>
      </c>
      <c r="J58" s="600" t="str">
        <f>IF(基本情報入力シート!W86="", "", 基本情報入力シート!W86)</f>
        <v/>
      </c>
      <c r="K58" s="600"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01" t="s">
        <v>170</v>
      </c>
      <c r="Q58" s="225"/>
      <c r="R58" s="602" t="s">
        <v>253</v>
      </c>
      <c r="S58" s="225"/>
      <c r="T58" s="602" t="s">
        <v>254</v>
      </c>
      <c r="U58" s="225"/>
      <c r="V58" s="602" t="s">
        <v>253</v>
      </c>
      <c r="W58" s="225"/>
      <c r="X58" s="602" t="s">
        <v>255</v>
      </c>
      <c r="Y58" s="602" t="s">
        <v>256</v>
      </c>
      <c r="Z58" s="602" t="str">
        <f t="shared" si="15"/>
        <v/>
      </c>
      <c r="AA58" s="603" t="s">
        <v>257</v>
      </c>
      <c r="AB58" s="604" t="str">
        <f t="shared" si="16"/>
        <v/>
      </c>
      <c r="AC58" s="605" t="str">
        <f>IFERROR(ROUNDDOWN(ROUNDDOWN(ROUND(L58*VLOOKUP(K58,【参考】数式用!$A$2:$M$57,MATCH("処遇改善加算Ⅳ",【参考】数式用!$G$3:$M$3,0)+6,0),0)*M58,0)*Z58*0.5,0), "")</f>
        <v/>
      </c>
      <c r="AD58" s="245"/>
      <c r="AE58" s="246"/>
      <c r="AF58" s="246"/>
      <c r="AG58" s="247"/>
      <c r="AH58" s="248"/>
      <c r="AI58" s="249"/>
      <c r="AJ58" s="250"/>
      <c r="AK58" s="606" t="str">
        <f t="shared" si="17"/>
        <v/>
      </c>
      <c r="AL58" s="607" t="str">
        <f t="shared" si="0"/>
        <v/>
      </c>
      <c r="AM58" s="608"/>
      <c r="AN58" s="609" t="str">
        <f>IFERROR(VLOOKUP(K58,【参考】数式用!$A$2:$N$57,14,FALSE),"")</f>
        <v/>
      </c>
      <c r="AO58" s="609" t="str">
        <f t="shared" si="1"/>
        <v/>
      </c>
      <c r="AP58" s="610" t="str">
        <f t="shared" si="18"/>
        <v/>
      </c>
      <c r="AQ58" s="610" t="str">
        <f t="shared" si="19"/>
        <v>キャリアパス要件Ⅰ・Ⅱ_</v>
      </c>
      <c r="AR58" s="611" t="str">
        <f t="shared" si="20"/>
        <v>入力済</v>
      </c>
      <c r="AS58" s="609" t="str">
        <f t="shared" si="2"/>
        <v/>
      </c>
      <c r="AT58" s="611" t="str">
        <f t="shared" si="3"/>
        <v>入力済</v>
      </c>
      <c r="AU58" s="611" t="str">
        <f t="shared" si="4"/>
        <v/>
      </c>
      <c r="AV58" s="611" t="str">
        <f t="shared" si="5"/>
        <v/>
      </c>
      <c r="AW58" s="609" t="str">
        <f t="shared" si="6"/>
        <v/>
      </c>
      <c r="AX58" s="609" t="str">
        <f t="shared" si="7"/>
        <v>入力済</v>
      </c>
      <c r="AY58" s="611" t="str">
        <f>IFERROR(VLOOKUP(K58,【参考】数式用!$AR$3:$AS$49, 2, FALSE), "")</f>
        <v/>
      </c>
      <c r="AZ58" s="609" t="str">
        <f t="shared" si="8"/>
        <v/>
      </c>
      <c r="BA58" s="612" t="str">
        <f t="shared" si="21"/>
        <v>入力済</v>
      </c>
      <c r="BB58" s="611" t="str">
        <f>IFERROR(VLOOKUP(K58,【参考】数式用!$AX$3:$AY$59, 2, FALSE), "")</f>
        <v/>
      </c>
      <c r="BC58" s="609" t="str">
        <f t="shared" si="9"/>
        <v/>
      </c>
      <c r="BD58" s="612" t="str">
        <f t="shared" si="38"/>
        <v>入力済</v>
      </c>
      <c r="BE58" s="612" t="str">
        <f t="shared" si="10"/>
        <v/>
      </c>
      <c r="BF58" s="612" t="str">
        <f t="shared" si="11"/>
        <v/>
      </c>
      <c r="BG58" s="612" t="str">
        <f t="shared" si="12"/>
        <v/>
      </c>
      <c r="BH58" s="612" t="str">
        <f t="shared" si="13"/>
        <v/>
      </c>
      <c r="BI58" s="612" t="str">
        <f t="shared" si="14"/>
        <v/>
      </c>
    </row>
    <row r="59" spans="1:61" ht="109.9" customHeight="1" thickBot="1">
      <c r="A59" s="599">
        <v>48</v>
      </c>
      <c r="B59" s="913" t="str">
        <f>IF(基本情報入力シート!B87="","",基本情報入力シート!B87)</f>
        <v/>
      </c>
      <c r="C59" s="914"/>
      <c r="D59" s="914"/>
      <c r="E59" s="914"/>
      <c r="F59" s="915"/>
      <c r="G59" s="600" t="str">
        <f>IF(基本情報入力シート!L87="", "", 基本情報入力シート!L87)</f>
        <v/>
      </c>
      <c r="H59" s="600" t="str">
        <f>IF(基本情報入力シート!Q87="", "", 基本情報入力シート!Q87)</f>
        <v/>
      </c>
      <c r="I59" s="600" t="str">
        <f>IF(基本情報入力シート!V87="", "", 基本情報入力シート!V87)</f>
        <v/>
      </c>
      <c r="J59" s="600" t="str">
        <f>IF(基本情報入力シート!W87="", "", 基本情報入力シート!W87)</f>
        <v/>
      </c>
      <c r="K59" s="600"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01" t="s">
        <v>170</v>
      </c>
      <c r="Q59" s="225"/>
      <c r="R59" s="602" t="s">
        <v>253</v>
      </c>
      <c r="S59" s="225"/>
      <c r="T59" s="602" t="s">
        <v>254</v>
      </c>
      <c r="U59" s="225"/>
      <c r="V59" s="602" t="s">
        <v>253</v>
      </c>
      <c r="W59" s="225"/>
      <c r="X59" s="602" t="s">
        <v>255</v>
      </c>
      <c r="Y59" s="602" t="s">
        <v>256</v>
      </c>
      <c r="Z59" s="602" t="str">
        <f t="shared" si="15"/>
        <v/>
      </c>
      <c r="AA59" s="603" t="s">
        <v>257</v>
      </c>
      <c r="AB59" s="604" t="str">
        <f t="shared" si="16"/>
        <v/>
      </c>
      <c r="AC59" s="605" t="str">
        <f>IFERROR(ROUNDDOWN(ROUNDDOWN(ROUND(L59*VLOOKUP(K59,【参考】数式用!$A$2:$M$57,MATCH("処遇改善加算Ⅳ",【参考】数式用!$G$3:$M$3,0)+6,0),0)*M59,0)*Z59*0.5,0), "")</f>
        <v/>
      </c>
      <c r="AD59" s="245"/>
      <c r="AE59" s="246"/>
      <c r="AF59" s="246"/>
      <c r="AG59" s="247"/>
      <c r="AH59" s="248"/>
      <c r="AI59" s="249"/>
      <c r="AJ59" s="250"/>
      <c r="AK59" s="606" t="str">
        <f t="shared" si="17"/>
        <v/>
      </c>
      <c r="AL59" s="607" t="str">
        <f t="shared" si="0"/>
        <v/>
      </c>
      <c r="AM59" s="608"/>
      <c r="AN59" s="609" t="str">
        <f>IFERROR(VLOOKUP(K59,【参考】数式用!$A$2:$N$57,14,FALSE),"")</f>
        <v/>
      </c>
      <c r="AO59" s="609" t="str">
        <f t="shared" si="1"/>
        <v/>
      </c>
      <c r="AP59" s="610" t="str">
        <f t="shared" si="18"/>
        <v/>
      </c>
      <c r="AQ59" s="610" t="str">
        <f t="shared" si="19"/>
        <v>キャリアパス要件Ⅰ・Ⅱ_</v>
      </c>
      <c r="AR59" s="611" t="str">
        <f t="shared" si="20"/>
        <v>入力済</v>
      </c>
      <c r="AS59" s="609" t="str">
        <f t="shared" si="2"/>
        <v/>
      </c>
      <c r="AT59" s="611" t="str">
        <f t="shared" si="3"/>
        <v>入力済</v>
      </c>
      <c r="AU59" s="611" t="str">
        <f t="shared" si="4"/>
        <v/>
      </c>
      <c r="AV59" s="611" t="str">
        <f t="shared" si="5"/>
        <v/>
      </c>
      <c r="AW59" s="609" t="str">
        <f t="shared" si="6"/>
        <v/>
      </c>
      <c r="AX59" s="609" t="str">
        <f t="shared" si="7"/>
        <v>入力済</v>
      </c>
      <c r="AY59" s="611" t="str">
        <f>IFERROR(VLOOKUP(K59,【参考】数式用!$AR$3:$AS$49, 2, FALSE), "")</f>
        <v/>
      </c>
      <c r="AZ59" s="609" t="str">
        <f t="shared" si="8"/>
        <v/>
      </c>
      <c r="BA59" s="612" t="str">
        <f t="shared" si="21"/>
        <v>入力済</v>
      </c>
      <c r="BB59" s="611" t="str">
        <f>IFERROR(VLOOKUP(K59,【参考】数式用!$AX$3:$AY$59, 2, FALSE), "")</f>
        <v/>
      </c>
      <c r="BC59" s="609" t="str">
        <f t="shared" si="9"/>
        <v/>
      </c>
      <c r="BD59" s="612" t="str">
        <f t="shared" si="38"/>
        <v>入力済</v>
      </c>
      <c r="BE59" s="612" t="str">
        <f t="shared" si="10"/>
        <v/>
      </c>
      <c r="BF59" s="612" t="str">
        <f t="shared" si="11"/>
        <v/>
      </c>
      <c r="BG59" s="612" t="str">
        <f t="shared" si="12"/>
        <v/>
      </c>
      <c r="BH59" s="612" t="str">
        <f t="shared" si="13"/>
        <v/>
      </c>
      <c r="BI59" s="612" t="str">
        <f t="shared" si="14"/>
        <v/>
      </c>
    </row>
    <row r="60" spans="1:61" ht="109.9" customHeight="1" thickBot="1">
      <c r="A60" s="599">
        <v>49</v>
      </c>
      <c r="B60" s="913" t="str">
        <f>IF(基本情報入力シート!B88="","",基本情報入力シート!B88)</f>
        <v/>
      </c>
      <c r="C60" s="914"/>
      <c r="D60" s="914"/>
      <c r="E60" s="914"/>
      <c r="F60" s="915"/>
      <c r="G60" s="600" t="str">
        <f>IF(基本情報入力シート!L88="", "", 基本情報入力シート!L88)</f>
        <v/>
      </c>
      <c r="H60" s="600" t="str">
        <f>IF(基本情報入力シート!Q88="", "", 基本情報入力シート!Q88)</f>
        <v/>
      </c>
      <c r="I60" s="600" t="str">
        <f>IF(基本情報入力シート!V88="", "", 基本情報入力シート!V88)</f>
        <v/>
      </c>
      <c r="J60" s="600" t="str">
        <f>IF(基本情報入力シート!W88="", "", 基本情報入力シート!W88)</f>
        <v/>
      </c>
      <c r="K60" s="600"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01" t="s">
        <v>170</v>
      </c>
      <c r="Q60" s="225"/>
      <c r="R60" s="602" t="s">
        <v>253</v>
      </c>
      <c r="S60" s="225"/>
      <c r="T60" s="602" t="s">
        <v>254</v>
      </c>
      <c r="U60" s="225"/>
      <c r="V60" s="602" t="s">
        <v>253</v>
      </c>
      <c r="W60" s="225"/>
      <c r="X60" s="602" t="s">
        <v>255</v>
      </c>
      <c r="Y60" s="602" t="s">
        <v>256</v>
      </c>
      <c r="Z60" s="602" t="str">
        <f t="shared" si="15"/>
        <v/>
      </c>
      <c r="AA60" s="603" t="s">
        <v>257</v>
      </c>
      <c r="AB60" s="604" t="str">
        <f t="shared" si="16"/>
        <v/>
      </c>
      <c r="AC60" s="605" t="str">
        <f>IFERROR(ROUNDDOWN(ROUNDDOWN(ROUND(L60*VLOOKUP(K60,【参考】数式用!$A$2:$M$57,MATCH("処遇改善加算Ⅳ",【参考】数式用!$G$3:$M$3,0)+6,0),0)*M60,0)*Z60*0.5,0), "")</f>
        <v/>
      </c>
      <c r="AD60" s="245"/>
      <c r="AE60" s="246"/>
      <c r="AF60" s="246"/>
      <c r="AG60" s="247"/>
      <c r="AH60" s="248"/>
      <c r="AI60" s="249"/>
      <c r="AJ60" s="250"/>
      <c r="AK60" s="606" t="str">
        <f t="shared" si="17"/>
        <v/>
      </c>
      <c r="AL60" s="607" t="str">
        <f t="shared" si="0"/>
        <v/>
      </c>
      <c r="AM60" s="608"/>
      <c r="AN60" s="609" t="str">
        <f>IFERROR(VLOOKUP(K60,【参考】数式用!$A$2:$N$57,14,FALSE),"")</f>
        <v/>
      </c>
      <c r="AO60" s="609" t="str">
        <f t="shared" si="1"/>
        <v/>
      </c>
      <c r="AP60" s="610" t="str">
        <f t="shared" si="18"/>
        <v/>
      </c>
      <c r="AQ60" s="610" t="str">
        <f t="shared" si="19"/>
        <v>キャリアパス要件Ⅰ・Ⅱ_</v>
      </c>
      <c r="AR60" s="611" t="str">
        <f t="shared" si="20"/>
        <v>入力済</v>
      </c>
      <c r="AS60" s="609" t="str">
        <f t="shared" si="2"/>
        <v/>
      </c>
      <c r="AT60" s="611" t="str">
        <f t="shared" si="3"/>
        <v>入力済</v>
      </c>
      <c r="AU60" s="611" t="str">
        <f t="shared" si="4"/>
        <v/>
      </c>
      <c r="AV60" s="611" t="str">
        <f t="shared" si="5"/>
        <v/>
      </c>
      <c r="AW60" s="609" t="str">
        <f t="shared" si="6"/>
        <v/>
      </c>
      <c r="AX60" s="609" t="str">
        <f t="shared" si="7"/>
        <v>入力済</v>
      </c>
      <c r="AY60" s="611" t="str">
        <f>IFERROR(VLOOKUP(K60,【参考】数式用!$AR$3:$AS$49, 2, FALSE), "")</f>
        <v/>
      </c>
      <c r="AZ60" s="609" t="str">
        <f t="shared" si="8"/>
        <v/>
      </c>
      <c r="BA60" s="612" t="str">
        <f t="shared" si="21"/>
        <v>入力済</v>
      </c>
      <c r="BB60" s="611" t="str">
        <f>IFERROR(VLOOKUP(K60,【参考】数式用!$AX$3:$AY$59, 2, FALSE), "")</f>
        <v/>
      </c>
      <c r="BC60" s="609" t="str">
        <f t="shared" si="9"/>
        <v/>
      </c>
      <c r="BD60" s="612" t="str">
        <f t="shared" si="38"/>
        <v>入力済</v>
      </c>
      <c r="BE60" s="612" t="str">
        <f t="shared" si="10"/>
        <v/>
      </c>
      <c r="BF60" s="612" t="str">
        <f t="shared" si="11"/>
        <v/>
      </c>
      <c r="BG60" s="612" t="str">
        <f t="shared" si="12"/>
        <v/>
      </c>
      <c r="BH60" s="612" t="str">
        <f t="shared" si="13"/>
        <v/>
      </c>
      <c r="BI60" s="612" t="str">
        <f t="shared" si="14"/>
        <v/>
      </c>
    </row>
    <row r="61" spans="1:61" ht="109.9" customHeight="1" thickBot="1">
      <c r="A61" s="599">
        <v>50</v>
      </c>
      <c r="B61" s="913" t="str">
        <f>IF(基本情報入力シート!B89="","",基本情報入力シート!B89)</f>
        <v/>
      </c>
      <c r="C61" s="914"/>
      <c r="D61" s="914"/>
      <c r="E61" s="914"/>
      <c r="F61" s="915"/>
      <c r="G61" s="600" t="str">
        <f>IF(基本情報入力シート!L89="", "", 基本情報入力シート!L89)</f>
        <v/>
      </c>
      <c r="H61" s="600" t="str">
        <f>IF(基本情報入力シート!Q89="", "", 基本情報入力シート!Q89)</f>
        <v/>
      </c>
      <c r="I61" s="600" t="str">
        <f>IF(基本情報入力シート!V89="", "", 基本情報入力シート!V89)</f>
        <v/>
      </c>
      <c r="J61" s="600" t="str">
        <f>IF(基本情報入力シート!W89="", "", 基本情報入力シート!W89)</f>
        <v/>
      </c>
      <c r="K61" s="600"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01" t="s">
        <v>170</v>
      </c>
      <c r="Q61" s="225"/>
      <c r="R61" s="602" t="s">
        <v>253</v>
      </c>
      <c r="S61" s="225"/>
      <c r="T61" s="602" t="s">
        <v>254</v>
      </c>
      <c r="U61" s="225"/>
      <c r="V61" s="602" t="s">
        <v>253</v>
      </c>
      <c r="W61" s="225"/>
      <c r="X61" s="602" t="s">
        <v>172</v>
      </c>
      <c r="Y61" s="602" t="s">
        <v>256</v>
      </c>
      <c r="Z61" s="602" t="str">
        <f t="shared" si="15"/>
        <v/>
      </c>
      <c r="AA61" s="603" t="s">
        <v>257</v>
      </c>
      <c r="AB61" s="604" t="str">
        <f t="shared" si="16"/>
        <v/>
      </c>
      <c r="AC61" s="605" t="str">
        <f>IFERROR(ROUNDDOWN(ROUNDDOWN(ROUND(L61*VLOOKUP(K61,【参考】数式用!$A$2:$M$57,MATCH("処遇改善加算Ⅳ",【参考】数式用!$G$3:$M$3,0)+6,0),0)*M61,0)*Z61*0.5,0), "")</f>
        <v/>
      </c>
      <c r="AD61" s="245"/>
      <c r="AE61" s="246"/>
      <c r="AF61" s="246"/>
      <c r="AG61" s="247"/>
      <c r="AH61" s="248"/>
      <c r="AI61" s="249"/>
      <c r="AJ61" s="250"/>
      <c r="AK61" s="606" t="str">
        <f t="shared" si="17"/>
        <v/>
      </c>
      <c r="AL61" s="607" t="str">
        <f t="shared" si="0"/>
        <v/>
      </c>
      <c r="AM61" s="608"/>
      <c r="AN61" s="609" t="str">
        <f>IFERROR(VLOOKUP(K61,【参考】数式用!$A$2:$N$57,14,FALSE),"")</f>
        <v/>
      </c>
      <c r="AO61" s="609" t="str">
        <f t="shared" si="1"/>
        <v/>
      </c>
      <c r="AP61" s="610" t="str">
        <f t="shared" si="18"/>
        <v/>
      </c>
      <c r="AQ61" s="610" t="str">
        <f t="shared" si="19"/>
        <v>キャリアパス要件Ⅰ・Ⅱ_</v>
      </c>
      <c r="AR61" s="611" t="str">
        <f t="shared" si="20"/>
        <v>入力済</v>
      </c>
      <c r="AS61" s="609" t="str">
        <f t="shared" si="2"/>
        <v/>
      </c>
      <c r="AT61" s="611" t="str">
        <f t="shared" si="3"/>
        <v>入力済</v>
      </c>
      <c r="AU61" s="611" t="str">
        <f t="shared" si="4"/>
        <v/>
      </c>
      <c r="AV61" s="611" t="str">
        <f t="shared" si="5"/>
        <v/>
      </c>
      <c r="AW61" s="609" t="str">
        <f t="shared" si="6"/>
        <v/>
      </c>
      <c r="AX61" s="609" t="str">
        <f t="shared" si="7"/>
        <v>入力済</v>
      </c>
      <c r="AY61" s="611" t="str">
        <f>IFERROR(VLOOKUP(K61,【参考】数式用!$AR$3:$AS$49, 2, FALSE), "")</f>
        <v/>
      </c>
      <c r="AZ61" s="609" t="str">
        <f t="shared" si="8"/>
        <v/>
      </c>
      <c r="BA61" s="612" t="str">
        <f t="shared" si="21"/>
        <v>入力済</v>
      </c>
      <c r="BB61" s="611" t="str">
        <f>IFERROR(VLOOKUP(K61,【参考】数式用!$AX$3:$AY$59, 2, FALSE), "")</f>
        <v/>
      </c>
      <c r="BC61" s="609" t="str">
        <f t="shared" si="9"/>
        <v/>
      </c>
      <c r="BD61" s="612" t="str">
        <f t="shared" si="38"/>
        <v>入力済</v>
      </c>
      <c r="BE61" s="612" t="str">
        <f t="shared" si="10"/>
        <v/>
      </c>
      <c r="BF61" s="612" t="str">
        <f t="shared" si="11"/>
        <v/>
      </c>
      <c r="BG61" s="612" t="str">
        <f t="shared" si="12"/>
        <v/>
      </c>
      <c r="BH61" s="612" t="str">
        <f t="shared" si="13"/>
        <v/>
      </c>
      <c r="BI61" s="612" t="str">
        <f t="shared" si="14"/>
        <v/>
      </c>
    </row>
    <row r="62" spans="1:61" ht="109.9" customHeight="1" thickBot="1">
      <c r="A62" s="599">
        <v>51</v>
      </c>
      <c r="B62" s="913" t="str">
        <f>IF(基本情報入力シート!B90="","",基本情報入力シート!B90)</f>
        <v/>
      </c>
      <c r="C62" s="914"/>
      <c r="D62" s="914"/>
      <c r="E62" s="914"/>
      <c r="F62" s="915"/>
      <c r="G62" s="600" t="str">
        <f>IF(基本情報入力シート!L90="", "", 基本情報入力シート!L90)</f>
        <v/>
      </c>
      <c r="H62" s="600" t="str">
        <f>IF(基本情報入力シート!Q90="", "", 基本情報入力シート!Q90)</f>
        <v/>
      </c>
      <c r="I62" s="600" t="str">
        <f>IF(基本情報入力シート!V90="", "", 基本情報入力シート!V90)</f>
        <v/>
      </c>
      <c r="J62" s="600" t="str">
        <f>IF(基本情報入力シート!W90="", "", 基本情報入力シート!W90)</f>
        <v/>
      </c>
      <c r="K62" s="600"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01" t="s">
        <v>170</v>
      </c>
      <c r="Q62" s="225"/>
      <c r="R62" s="602" t="s">
        <v>253</v>
      </c>
      <c r="S62" s="225"/>
      <c r="T62" s="602" t="s">
        <v>254</v>
      </c>
      <c r="U62" s="225"/>
      <c r="V62" s="602" t="s">
        <v>253</v>
      </c>
      <c r="W62" s="225"/>
      <c r="X62" s="602" t="s">
        <v>172</v>
      </c>
      <c r="Y62" s="602" t="s">
        <v>256</v>
      </c>
      <c r="Z62" s="602" t="str">
        <f t="shared" si="15"/>
        <v/>
      </c>
      <c r="AA62" s="603" t="s">
        <v>257</v>
      </c>
      <c r="AB62" s="604" t="str">
        <f t="shared" si="16"/>
        <v/>
      </c>
      <c r="AC62" s="605" t="str">
        <f>IFERROR(ROUNDDOWN(ROUNDDOWN(ROUND(L62*VLOOKUP(K62,【参考】数式用!$A$2:$M$57,MATCH("処遇改善加算Ⅳ",【参考】数式用!$G$3:$M$3,0)+6,0),0)*M62,0)*Z62*0.5,0), "")</f>
        <v/>
      </c>
      <c r="AD62" s="245"/>
      <c r="AE62" s="246"/>
      <c r="AF62" s="246"/>
      <c r="AG62" s="247"/>
      <c r="AH62" s="248"/>
      <c r="AI62" s="249"/>
      <c r="AJ62" s="250"/>
      <c r="AK62" s="606" t="str">
        <f t="shared" si="17"/>
        <v/>
      </c>
      <c r="AL62" s="607" t="str">
        <f t="shared" si="0"/>
        <v/>
      </c>
      <c r="AM62" s="608"/>
      <c r="AN62" s="609" t="str">
        <f>IFERROR(VLOOKUP(K62,【参考】数式用!$A$2:$N$57,14,FALSE),"")</f>
        <v/>
      </c>
      <c r="AO62" s="609" t="str">
        <f t="shared" si="1"/>
        <v/>
      </c>
      <c r="AP62" s="610" t="str">
        <f t="shared" si="18"/>
        <v/>
      </c>
      <c r="AQ62" s="610" t="str">
        <f t="shared" si="19"/>
        <v>キャリアパス要件Ⅰ・Ⅱ_</v>
      </c>
      <c r="AR62" s="611" t="str">
        <f t="shared" si="20"/>
        <v>入力済</v>
      </c>
      <c r="AS62" s="609" t="str">
        <f t="shared" si="2"/>
        <v/>
      </c>
      <c r="AT62" s="611" t="str">
        <f t="shared" si="3"/>
        <v>入力済</v>
      </c>
      <c r="AU62" s="611" t="str">
        <f t="shared" si="4"/>
        <v/>
      </c>
      <c r="AV62" s="611" t="str">
        <f t="shared" si="5"/>
        <v/>
      </c>
      <c r="AW62" s="609" t="str">
        <f t="shared" si="6"/>
        <v/>
      </c>
      <c r="AX62" s="609" t="str">
        <f t="shared" si="7"/>
        <v>入力済</v>
      </c>
      <c r="AY62" s="611" t="str">
        <f>IFERROR(VLOOKUP(K62,【参考】数式用!$AR$3:$AS$49, 2, FALSE), "")</f>
        <v/>
      </c>
      <c r="AZ62" s="609" t="str">
        <f t="shared" si="8"/>
        <v/>
      </c>
      <c r="BA62" s="612" t="str">
        <f t="shared" si="21"/>
        <v>入力済</v>
      </c>
      <c r="BB62" s="611" t="str">
        <f>IFERROR(VLOOKUP(K62,【参考】数式用!$AX$3:$AY$59, 2, FALSE), "")</f>
        <v/>
      </c>
      <c r="BC62" s="609" t="str">
        <f t="shared" si="9"/>
        <v/>
      </c>
      <c r="BD62" s="612" t="str">
        <f t="shared" si="38"/>
        <v>入力済</v>
      </c>
      <c r="BE62" s="612" t="str">
        <f t="shared" si="10"/>
        <v/>
      </c>
      <c r="BF62" s="612" t="str">
        <f t="shared" si="11"/>
        <v/>
      </c>
      <c r="BG62" s="612" t="str">
        <f t="shared" si="12"/>
        <v/>
      </c>
      <c r="BH62" s="612" t="str">
        <f t="shared" si="13"/>
        <v/>
      </c>
      <c r="BI62" s="612" t="str">
        <f t="shared" si="14"/>
        <v/>
      </c>
    </row>
    <row r="63" spans="1:61" ht="109.9" customHeight="1" thickBot="1">
      <c r="A63" s="599">
        <v>52</v>
      </c>
      <c r="B63" s="913" t="str">
        <f>IF(基本情報入力シート!B91="","",基本情報入力シート!B91)</f>
        <v/>
      </c>
      <c r="C63" s="914"/>
      <c r="D63" s="914"/>
      <c r="E63" s="914"/>
      <c r="F63" s="915"/>
      <c r="G63" s="600" t="str">
        <f>IF(基本情報入力シート!L91="", "", 基本情報入力シート!L91)</f>
        <v/>
      </c>
      <c r="H63" s="600" t="str">
        <f>IF(基本情報入力シート!Q91="", "", 基本情報入力シート!Q91)</f>
        <v/>
      </c>
      <c r="I63" s="600" t="str">
        <f>IF(基本情報入力シート!V91="", "", 基本情報入力シート!V91)</f>
        <v/>
      </c>
      <c r="J63" s="600" t="str">
        <f>IF(基本情報入力シート!W91="", "", 基本情報入力シート!W91)</f>
        <v/>
      </c>
      <c r="K63" s="600"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01" t="s">
        <v>170</v>
      </c>
      <c r="Q63" s="225"/>
      <c r="R63" s="602" t="s">
        <v>253</v>
      </c>
      <c r="S63" s="225"/>
      <c r="T63" s="602" t="s">
        <v>254</v>
      </c>
      <c r="U63" s="225"/>
      <c r="V63" s="602" t="s">
        <v>253</v>
      </c>
      <c r="W63" s="225"/>
      <c r="X63" s="602" t="s">
        <v>255</v>
      </c>
      <c r="Y63" s="602" t="s">
        <v>256</v>
      </c>
      <c r="Z63" s="602" t="str">
        <f t="shared" si="15"/>
        <v/>
      </c>
      <c r="AA63" s="603" t="s">
        <v>257</v>
      </c>
      <c r="AB63" s="604" t="str">
        <f t="shared" si="16"/>
        <v/>
      </c>
      <c r="AC63" s="605" t="str">
        <f>IFERROR(ROUNDDOWN(ROUNDDOWN(ROUND(L63*VLOOKUP(K63,【参考】数式用!$A$2:$M$57,MATCH("処遇改善加算Ⅳ",【参考】数式用!$G$3:$M$3,0)+6,0),0)*M63,0)*Z63*0.5,0), "")</f>
        <v/>
      </c>
      <c r="AD63" s="245"/>
      <c r="AE63" s="246"/>
      <c r="AF63" s="246"/>
      <c r="AG63" s="247"/>
      <c r="AH63" s="248"/>
      <c r="AI63" s="249"/>
      <c r="AJ63" s="250"/>
      <c r="AK63" s="606" t="str">
        <f t="shared" si="17"/>
        <v/>
      </c>
      <c r="AL63" s="607" t="str">
        <f t="shared" si="0"/>
        <v/>
      </c>
      <c r="AM63" s="608"/>
      <c r="AN63" s="609" t="str">
        <f>IFERROR(VLOOKUP(K63,【参考】数式用!$A$2:$N$57,14,FALSE),"")</f>
        <v/>
      </c>
      <c r="AO63" s="609" t="str">
        <f t="shared" si="1"/>
        <v/>
      </c>
      <c r="AP63" s="610" t="str">
        <f t="shared" si="18"/>
        <v/>
      </c>
      <c r="AQ63" s="610" t="str">
        <f t="shared" si="19"/>
        <v>キャリアパス要件Ⅰ・Ⅱ_</v>
      </c>
      <c r="AR63" s="611" t="str">
        <f t="shared" si="20"/>
        <v>入力済</v>
      </c>
      <c r="AS63" s="609" t="str">
        <f t="shared" si="2"/>
        <v/>
      </c>
      <c r="AT63" s="611" t="str">
        <f t="shared" si="3"/>
        <v>入力済</v>
      </c>
      <c r="AU63" s="611" t="str">
        <f t="shared" si="4"/>
        <v/>
      </c>
      <c r="AV63" s="611" t="str">
        <f t="shared" si="5"/>
        <v/>
      </c>
      <c r="AW63" s="609" t="str">
        <f t="shared" si="6"/>
        <v/>
      </c>
      <c r="AX63" s="609" t="str">
        <f t="shared" si="7"/>
        <v>入力済</v>
      </c>
      <c r="AY63" s="611" t="str">
        <f>IFERROR(VLOOKUP(K63,【参考】数式用!$AR$3:$AS$49, 2, FALSE), "")</f>
        <v/>
      </c>
      <c r="AZ63" s="609" t="str">
        <f t="shared" si="8"/>
        <v/>
      </c>
      <c r="BA63" s="612" t="str">
        <f t="shared" si="21"/>
        <v>入力済</v>
      </c>
      <c r="BB63" s="611" t="str">
        <f>IFERROR(VLOOKUP(K63,【参考】数式用!$AX$3:$AY$59, 2, FALSE), "")</f>
        <v/>
      </c>
      <c r="BC63" s="609" t="str">
        <f t="shared" si="9"/>
        <v/>
      </c>
      <c r="BD63" s="612" t="str">
        <f t="shared" si="38"/>
        <v>入力済</v>
      </c>
      <c r="BE63" s="612" t="str">
        <f t="shared" si="10"/>
        <v/>
      </c>
      <c r="BF63" s="612" t="str">
        <f t="shared" si="11"/>
        <v/>
      </c>
      <c r="BG63" s="612" t="str">
        <f t="shared" si="12"/>
        <v/>
      </c>
      <c r="BH63" s="612" t="str">
        <f t="shared" si="13"/>
        <v/>
      </c>
      <c r="BI63" s="612" t="str">
        <f t="shared" si="14"/>
        <v/>
      </c>
    </row>
    <row r="64" spans="1:61" ht="109.9" customHeight="1" thickBot="1">
      <c r="A64" s="599">
        <v>53</v>
      </c>
      <c r="B64" s="913" t="str">
        <f>IF(基本情報入力シート!B92="","",基本情報入力シート!B92)</f>
        <v/>
      </c>
      <c r="C64" s="914"/>
      <c r="D64" s="914"/>
      <c r="E64" s="914"/>
      <c r="F64" s="915"/>
      <c r="G64" s="600" t="str">
        <f>IF(基本情報入力シート!L92="", "", 基本情報入力シート!L92)</f>
        <v/>
      </c>
      <c r="H64" s="600" t="str">
        <f>IF(基本情報入力シート!Q92="", "", 基本情報入力シート!Q92)</f>
        <v/>
      </c>
      <c r="I64" s="600" t="str">
        <f>IF(基本情報入力シート!V92="", "", 基本情報入力シート!V92)</f>
        <v/>
      </c>
      <c r="J64" s="600" t="str">
        <f>IF(基本情報入力シート!W92="", "", 基本情報入力シート!W92)</f>
        <v/>
      </c>
      <c r="K64" s="600"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01" t="s">
        <v>170</v>
      </c>
      <c r="Q64" s="225"/>
      <c r="R64" s="602" t="s">
        <v>253</v>
      </c>
      <c r="S64" s="225"/>
      <c r="T64" s="602" t="s">
        <v>254</v>
      </c>
      <c r="U64" s="225"/>
      <c r="V64" s="602" t="s">
        <v>253</v>
      </c>
      <c r="W64" s="225"/>
      <c r="X64" s="602" t="s">
        <v>255</v>
      </c>
      <c r="Y64" s="602" t="s">
        <v>256</v>
      </c>
      <c r="Z64" s="602" t="str">
        <f t="shared" si="15"/>
        <v/>
      </c>
      <c r="AA64" s="603" t="s">
        <v>257</v>
      </c>
      <c r="AB64" s="604" t="str">
        <f t="shared" si="16"/>
        <v/>
      </c>
      <c r="AC64" s="605" t="str">
        <f>IFERROR(ROUNDDOWN(ROUNDDOWN(ROUND(L64*VLOOKUP(K64,【参考】数式用!$A$2:$M$57,MATCH("処遇改善加算Ⅳ",【参考】数式用!$G$3:$M$3,0)+6,0),0)*M64,0)*Z64*0.5,0), "")</f>
        <v/>
      </c>
      <c r="AD64" s="245"/>
      <c r="AE64" s="246"/>
      <c r="AF64" s="246"/>
      <c r="AG64" s="247"/>
      <c r="AH64" s="248"/>
      <c r="AI64" s="249"/>
      <c r="AJ64" s="250"/>
      <c r="AK64" s="606" t="str">
        <f t="shared" si="17"/>
        <v/>
      </c>
      <c r="AL64" s="607" t="str">
        <f t="shared" si="0"/>
        <v/>
      </c>
      <c r="AM64" s="608"/>
      <c r="AN64" s="609" t="str">
        <f>IFERROR(VLOOKUP(K64,【参考】数式用!$A$2:$N$57,14,FALSE),"")</f>
        <v/>
      </c>
      <c r="AO64" s="609" t="str">
        <f t="shared" si="1"/>
        <v/>
      </c>
      <c r="AP64" s="610" t="str">
        <f t="shared" si="18"/>
        <v/>
      </c>
      <c r="AQ64" s="610" t="str">
        <f t="shared" si="19"/>
        <v>キャリアパス要件Ⅰ・Ⅱ_</v>
      </c>
      <c r="AR64" s="611" t="str">
        <f t="shared" si="20"/>
        <v>入力済</v>
      </c>
      <c r="AS64" s="609" t="str">
        <f t="shared" si="2"/>
        <v/>
      </c>
      <c r="AT64" s="611" t="str">
        <f t="shared" si="3"/>
        <v>入力済</v>
      </c>
      <c r="AU64" s="611" t="str">
        <f t="shared" si="4"/>
        <v/>
      </c>
      <c r="AV64" s="611" t="str">
        <f t="shared" si="5"/>
        <v/>
      </c>
      <c r="AW64" s="609" t="str">
        <f t="shared" si="6"/>
        <v/>
      </c>
      <c r="AX64" s="609" t="str">
        <f t="shared" si="7"/>
        <v>入力済</v>
      </c>
      <c r="AY64" s="611" t="str">
        <f>IFERROR(VLOOKUP(K64,【参考】数式用!$AR$3:$AS$49, 2, FALSE), "")</f>
        <v/>
      </c>
      <c r="AZ64" s="609" t="str">
        <f t="shared" si="8"/>
        <v/>
      </c>
      <c r="BA64" s="612" t="str">
        <f t="shared" si="21"/>
        <v>入力済</v>
      </c>
      <c r="BB64" s="611" t="str">
        <f>IFERROR(VLOOKUP(K64,【参考】数式用!$AX$3:$AY$59, 2, FALSE), "")</f>
        <v/>
      </c>
      <c r="BC64" s="609" t="str">
        <f t="shared" si="9"/>
        <v/>
      </c>
      <c r="BD64" s="612" t="str">
        <f t="shared" si="38"/>
        <v>入力済</v>
      </c>
      <c r="BE64" s="612" t="str">
        <f t="shared" si="10"/>
        <v/>
      </c>
      <c r="BF64" s="612" t="str">
        <f t="shared" si="11"/>
        <v/>
      </c>
      <c r="BG64" s="612" t="str">
        <f t="shared" si="12"/>
        <v/>
      </c>
      <c r="BH64" s="612" t="str">
        <f t="shared" si="13"/>
        <v/>
      </c>
      <c r="BI64" s="612" t="str">
        <f t="shared" si="14"/>
        <v/>
      </c>
    </row>
    <row r="65" spans="1:61" ht="109.9" customHeight="1" thickBot="1">
      <c r="A65" s="599">
        <v>54</v>
      </c>
      <c r="B65" s="913" t="str">
        <f>IF(基本情報入力シート!B93="","",基本情報入力シート!B93)</f>
        <v/>
      </c>
      <c r="C65" s="914"/>
      <c r="D65" s="914"/>
      <c r="E65" s="914"/>
      <c r="F65" s="915"/>
      <c r="G65" s="600" t="str">
        <f>IF(基本情報入力シート!L93="", "", 基本情報入力シート!L93)</f>
        <v/>
      </c>
      <c r="H65" s="600" t="str">
        <f>IF(基本情報入力シート!Q93="", "", 基本情報入力シート!Q93)</f>
        <v/>
      </c>
      <c r="I65" s="600" t="str">
        <f>IF(基本情報入力シート!V93="", "", 基本情報入力シート!V93)</f>
        <v/>
      </c>
      <c r="J65" s="600" t="str">
        <f>IF(基本情報入力シート!W93="", "", 基本情報入力シート!W93)</f>
        <v/>
      </c>
      <c r="K65" s="600"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01" t="s">
        <v>170</v>
      </c>
      <c r="Q65" s="225"/>
      <c r="R65" s="602" t="s">
        <v>253</v>
      </c>
      <c r="S65" s="225"/>
      <c r="T65" s="602" t="s">
        <v>254</v>
      </c>
      <c r="U65" s="225"/>
      <c r="V65" s="602" t="s">
        <v>253</v>
      </c>
      <c r="W65" s="225"/>
      <c r="X65" s="602" t="s">
        <v>255</v>
      </c>
      <c r="Y65" s="602" t="s">
        <v>256</v>
      </c>
      <c r="Z65" s="602" t="str">
        <f t="shared" si="15"/>
        <v/>
      </c>
      <c r="AA65" s="603" t="s">
        <v>257</v>
      </c>
      <c r="AB65" s="604" t="str">
        <f t="shared" si="16"/>
        <v/>
      </c>
      <c r="AC65" s="605" t="str">
        <f>IFERROR(ROUNDDOWN(ROUNDDOWN(ROUND(L65*VLOOKUP(K65,【参考】数式用!$A$2:$M$57,MATCH("処遇改善加算Ⅳ",【参考】数式用!$G$3:$M$3,0)+6,0),0)*M65,0)*Z65*0.5,0), "")</f>
        <v/>
      </c>
      <c r="AD65" s="245"/>
      <c r="AE65" s="246"/>
      <c r="AF65" s="246"/>
      <c r="AG65" s="247"/>
      <c r="AH65" s="248"/>
      <c r="AI65" s="249"/>
      <c r="AJ65" s="250"/>
      <c r="AK65" s="606" t="str">
        <f t="shared" si="17"/>
        <v/>
      </c>
      <c r="AL65" s="607" t="str">
        <f t="shared" si="0"/>
        <v/>
      </c>
      <c r="AM65" s="608"/>
      <c r="AN65" s="609" t="str">
        <f>IFERROR(VLOOKUP(K65,【参考】数式用!$A$2:$N$57,14,FALSE),"")</f>
        <v/>
      </c>
      <c r="AO65" s="609" t="str">
        <f t="shared" si="1"/>
        <v/>
      </c>
      <c r="AP65" s="610" t="str">
        <f t="shared" si="18"/>
        <v/>
      </c>
      <c r="AQ65" s="610" t="str">
        <f t="shared" si="19"/>
        <v>キャリアパス要件Ⅰ・Ⅱ_</v>
      </c>
      <c r="AR65" s="611" t="str">
        <f t="shared" si="20"/>
        <v>入力済</v>
      </c>
      <c r="AS65" s="609" t="str">
        <f t="shared" si="2"/>
        <v/>
      </c>
      <c r="AT65" s="611" t="str">
        <f t="shared" si="3"/>
        <v>入力済</v>
      </c>
      <c r="AU65" s="611" t="str">
        <f t="shared" si="4"/>
        <v/>
      </c>
      <c r="AV65" s="611" t="str">
        <f t="shared" si="5"/>
        <v/>
      </c>
      <c r="AW65" s="609" t="str">
        <f t="shared" si="6"/>
        <v/>
      </c>
      <c r="AX65" s="609" t="str">
        <f t="shared" si="7"/>
        <v>入力済</v>
      </c>
      <c r="AY65" s="611" t="str">
        <f>IFERROR(VLOOKUP(K65,【参考】数式用!$AR$3:$AS$49, 2, FALSE), "")</f>
        <v/>
      </c>
      <c r="AZ65" s="609" t="str">
        <f t="shared" si="8"/>
        <v/>
      </c>
      <c r="BA65" s="612" t="str">
        <f t="shared" si="21"/>
        <v>入力済</v>
      </c>
      <c r="BB65" s="611" t="str">
        <f>IFERROR(VLOOKUP(K65,【参考】数式用!$AX$3:$AY$59, 2, FALSE), "")</f>
        <v/>
      </c>
      <c r="BC65" s="609" t="str">
        <f t="shared" si="9"/>
        <v/>
      </c>
      <c r="BD65" s="612" t="str">
        <f t="shared" si="38"/>
        <v>入力済</v>
      </c>
      <c r="BE65" s="612" t="str">
        <f t="shared" si="10"/>
        <v/>
      </c>
      <c r="BF65" s="612" t="str">
        <f t="shared" si="11"/>
        <v/>
      </c>
      <c r="BG65" s="612" t="str">
        <f t="shared" si="12"/>
        <v/>
      </c>
      <c r="BH65" s="612" t="str">
        <f t="shared" si="13"/>
        <v/>
      </c>
      <c r="BI65" s="612" t="str">
        <f t="shared" si="14"/>
        <v/>
      </c>
    </row>
    <row r="66" spans="1:61" ht="109.9" customHeight="1" thickBot="1">
      <c r="A66" s="599">
        <v>55</v>
      </c>
      <c r="B66" s="913" t="str">
        <f>IF(基本情報入力シート!B94="","",基本情報入力シート!B94)</f>
        <v/>
      </c>
      <c r="C66" s="914"/>
      <c r="D66" s="914"/>
      <c r="E66" s="914"/>
      <c r="F66" s="915"/>
      <c r="G66" s="600" t="str">
        <f>IF(基本情報入力シート!L94="", "", 基本情報入力シート!L94)</f>
        <v/>
      </c>
      <c r="H66" s="600" t="str">
        <f>IF(基本情報入力シート!Q94="", "", 基本情報入力シート!Q94)</f>
        <v/>
      </c>
      <c r="I66" s="600" t="str">
        <f>IF(基本情報入力シート!V94="", "", 基本情報入力シート!V94)</f>
        <v/>
      </c>
      <c r="J66" s="600" t="str">
        <f>IF(基本情報入力シート!W94="", "", 基本情報入力シート!W94)</f>
        <v/>
      </c>
      <c r="K66" s="600"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01" t="s">
        <v>170</v>
      </c>
      <c r="Q66" s="225"/>
      <c r="R66" s="602" t="s">
        <v>253</v>
      </c>
      <c r="S66" s="225"/>
      <c r="T66" s="602" t="s">
        <v>254</v>
      </c>
      <c r="U66" s="225"/>
      <c r="V66" s="602" t="s">
        <v>253</v>
      </c>
      <c r="W66" s="225"/>
      <c r="X66" s="602" t="s">
        <v>172</v>
      </c>
      <c r="Y66" s="602" t="s">
        <v>256</v>
      </c>
      <c r="Z66" s="602" t="str">
        <f t="shared" si="15"/>
        <v/>
      </c>
      <c r="AA66" s="603" t="s">
        <v>257</v>
      </c>
      <c r="AB66" s="604" t="str">
        <f t="shared" si="16"/>
        <v/>
      </c>
      <c r="AC66" s="605" t="str">
        <f>IFERROR(ROUNDDOWN(ROUNDDOWN(ROUND(L66*VLOOKUP(K66,【参考】数式用!$A$2:$M$57,MATCH("処遇改善加算Ⅳ",【参考】数式用!$G$3:$M$3,0)+6,0),0)*M66,0)*Z66*0.5,0), "")</f>
        <v/>
      </c>
      <c r="AD66" s="245"/>
      <c r="AE66" s="246"/>
      <c r="AF66" s="246"/>
      <c r="AG66" s="247"/>
      <c r="AH66" s="248"/>
      <c r="AI66" s="249"/>
      <c r="AJ66" s="250"/>
      <c r="AK66" s="606" t="str">
        <f t="shared" si="17"/>
        <v/>
      </c>
      <c r="AL66" s="607" t="str">
        <f t="shared" si="0"/>
        <v/>
      </c>
      <c r="AM66" s="608"/>
      <c r="AN66" s="609" t="str">
        <f>IFERROR(VLOOKUP(K66,【参考】数式用!$A$2:$N$57,14,FALSE),"")</f>
        <v/>
      </c>
      <c r="AO66" s="609" t="str">
        <f t="shared" si="1"/>
        <v/>
      </c>
      <c r="AP66" s="610" t="str">
        <f t="shared" si="18"/>
        <v/>
      </c>
      <c r="AQ66" s="610" t="str">
        <f t="shared" si="19"/>
        <v>キャリアパス要件Ⅰ・Ⅱ_</v>
      </c>
      <c r="AR66" s="611" t="str">
        <f t="shared" si="20"/>
        <v>入力済</v>
      </c>
      <c r="AS66" s="609" t="str">
        <f t="shared" si="2"/>
        <v/>
      </c>
      <c r="AT66" s="611" t="str">
        <f t="shared" si="3"/>
        <v>入力済</v>
      </c>
      <c r="AU66" s="611" t="str">
        <f t="shared" si="4"/>
        <v/>
      </c>
      <c r="AV66" s="611" t="str">
        <f t="shared" si="5"/>
        <v/>
      </c>
      <c r="AW66" s="609" t="str">
        <f t="shared" si="6"/>
        <v/>
      </c>
      <c r="AX66" s="609" t="str">
        <f t="shared" si="7"/>
        <v>入力済</v>
      </c>
      <c r="AY66" s="611" t="str">
        <f>IFERROR(VLOOKUP(K66,【参考】数式用!$AR$3:$AS$49, 2, FALSE), "")</f>
        <v/>
      </c>
      <c r="AZ66" s="609" t="str">
        <f t="shared" si="8"/>
        <v/>
      </c>
      <c r="BA66" s="612" t="str">
        <f t="shared" si="21"/>
        <v>入力済</v>
      </c>
      <c r="BB66" s="611" t="str">
        <f>IFERROR(VLOOKUP(K66,【参考】数式用!$AX$3:$AY$59, 2, FALSE), "")</f>
        <v/>
      </c>
      <c r="BC66" s="609" t="str">
        <f t="shared" si="9"/>
        <v/>
      </c>
      <c r="BD66" s="612" t="str">
        <f t="shared" si="38"/>
        <v>入力済</v>
      </c>
      <c r="BE66" s="612" t="str">
        <f t="shared" si="10"/>
        <v/>
      </c>
      <c r="BF66" s="612" t="str">
        <f t="shared" si="11"/>
        <v/>
      </c>
      <c r="BG66" s="612" t="str">
        <f t="shared" si="12"/>
        <v/>
      </c>
      <c r="BH66" s="612" t="str">
        <f t="shared" si="13"/>
        <v/>
      </c>
      <c r="BI66" s="612" t="str">
        <f t="shared" si="14"/>
        <v/>
      </c>
    </row>
    <row r="67" spans="1:61" ht="109.9" customHeight="1" thickBot="1">
      <c r="A67" s="599">
        <v>56</v>
      </c>
      <c r="B67" s="913" t="str">
        <f>IF(基本情報入力シート!B95="","",基本情報入力シート!B95)</f>
        <v/>
      </c>
      <c r="C67" s="914"/>
      <c r="D67" s="914"/>
      <c r="E67" s="914"/>
      <c r="F67" s="915"/>
      <c r="G67" s="600" t="str">
        <f>IF(基本情報入力シート!L95="", "", 基本情報入力シート!L95)</f>
        <v/>
      </c>
      <c r="H67" s="600" t="str">
        <f>IF(基本情報入力シート!Q95="", "", 基本情報入力シート!Q95)</f>
        <v/>
      </c>
      <c r="I67" s="600" t="str">
        <f>IF(基本情報入力シート!V95="", "", 基本情報入力シート!V95)</f>
        <v/>
      </c>
      <c r="J67" s="600" t="str">
        <f>IF(基本情報入力シート!W95="", "", 基本情報入力シート!W95)</f>
        <v/>
      </c>
      <c r="K67" s="600"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01" t="s">
        <v>170</v>
      </c>
      <c r="Q67" s="225"/>
      <c r="R67" s="602" t="s">
        <v>253</v>
      </c>
      <c r="S67" s="225"/>
      <c r="T67" s="602" t="s">
        <v>254</v>
      </c>
      <c r="U67" s="225"/>
      <c r="V67" s="602" t="s">
        <v>253</v>
      </c>
      <c r="W67" s="225"/>
      <c r="X67" s="602" t="s">
        <v>255</v>
      </c>
      <c r="Y67" s="602" t="s">
        <v>256</v>
      </c>
      <c r="Z67" s="602" t="str">
        <f t="shared" si="15"/>
        <v/>
      </c>
      <c r="AA67" s="603" t="s">
        <v>257</v>
      </c>
      <c r="AB67" s="604" t="str">
        <f t="shared" si="16"/>
        <v/>
      </c>
      <c r="AC67" s="605" t="str">
        <f>IFERROR(ROUNDDOWN(ROUNDDOWN(ROUND(L67*VLOOKUP(K67,【参考】数式用!$A$2:$M$57,MATCH("処遇改善加算Ⅳ",【参考】数式用!$G$3:$M$3,0)+6,0),0)*M67,0)*Z67*0.5,0), "")</f>
        <v/>
      </c>
      <c r="AD67" s="245"/>
      <c r="AE67" s="246"/>
      <c r="AF67" s="246"/>
      <c r="AG67" s="247"/>
      <c r="AH67" s="248"/>
      <c r="AI67" s="249"/>
      <c r="AJ67" s="250"/>
      <c r="AK67" s="606" t="str">
        <f t="shared" si="17"/>
        <v/>
      </c>
      <c r="AL67" s="607" t="str">
        <f t="shared" si="0"/>
        <v/>
      </c>
      <c r="AM67" s="608"/>
      <c r="AN67" s="609" t="str">
        <f>IFERROR(VLOOKUP(K67,【参考】数式用!$A$2:$N$57,14,FALSE),"")</f>
        <v/>
      </c>
      <c r="AO67" s="609" t="str">
        <f t="shared" si="1"/>
        <v/>
      </c>
      <c r="AP67" s="610" t="str">
        <f t="shared" si="18"/>
        <v/>
      </c>
      <c r="AQ67" s="610" t="str">
        <f t="shared" si="19"/>
        <v>キャリアパス要件Ⅰ・Ⅱ_</v>
      </c>
      <c r="AR67" s="611" t="str">
        <f t="shared" si="20"/>
        <v>入力済</v>
      </c>
      <c r="AS67" s="609" t="str">
        <f t="shared" si="2"/>
        <v/>
      </c>
      <c r="AT67" s="611" t="str">
        <f t="shared" si="3"/>
        <v>入力済</v>
      </c>
      <c r="AU67" s="611" t="str">
        <f t="shared" si="4"/>
        <v/>
      </c>
      <c r="AV67" s="611" t="str">
        <f t="shared" si="5"/>
        <v/>
      </c>
      <c r="AW67" s="609" t="str">
        <f t="shared" si="6"/>
        <v/>
      </c>
      <c r="AX67" s="609" t="str">
        <f t="shared" si="7"/>
        <v>入力済</v>
      </c>
      <c r="AY67" s="611" t="str">
        <f>IFERROR(VLOOKUP(K67,【参考】数式用!$AR$3:$AS$49, 2, FALSE), "")</f>
        <v/>
      </c>
      <c r="AZ67" s="609" t="str">
        <f t="shared" si="8"/>
        <v/>
      </c>
      <c r="BA67" s="612" t="str">
        <f t="shared" si="21"/>
        <v>入力済</v>
      </c>
      <c r="BB67" s="611" t="str">
        <f>IFERROR(VLOOKUP(K67,【参考】数式用!$AX$3:$AY$59, 2, FALSE), "")</f>
        <v/>
      </c>
      <c r="BC67" s="609" t="str">
        <f t="shared" si="9"/>
        <v/>
      </c>
      <c r="BD67" s="612" t="str">
        <f t="shared" si="38"/>
        <v>入力済</v>
      </c>
      <c r="BE67" s="612" t="str">
        <f t="shared" si="10"/>
        <v/>
      </c>
      <c r="BF67" s="612" t="str">
        <f t="shared" si="11"/>
        <v/>
      </c>
      <c r="BG67" s="612" t="str">
        <f t="shared" si="12"/>
        <v/>
      </c>
      <c r="BH67" s="612" t="str">
        <f t="shared" si="13"/>
        <v/>
      </c>
      <c r="BI67" s="612" t="str">
        <f t="shared" si="14"/>
        <v/>
      </c>
    </row>
    <row r="68" spans="1:61" ht="109.9" customHeight="1" thickBot="1">
      <c r="A68" s="599">
        <v>57</v>
      </c>
      <c r="B68" s="913" t="str">
        <f>IF(基本情報入力シート!B96="","",基本情報入力シート!B96)</f>
        <v/>
      </c>
      <c r="C68" s="914"/>
      <c r="D68" s="914"/>
      <c r="E68" s="914"/>
      <c r="F68" s="915"/>
      <c r="G68" s="600" t="str">
        <f>IF(基本情報入力シート!L96="", "", 基本情報入力シート!L96)</f>
        <v/>
      </c>
      <c r="H68" s="600" t="str">
        <f>IF(基本情報入力シート!Q96="", "", 基本情報入力シート!Q96)</f>
        <v/>
      </c>
      <c r="I68" s="600" t="str">
        <f>IF(基本情報入力シート!V96="", "", 基本情報入力シート!V96)</f>
        <v/>
      </c>
      <c r="J68" s="600" t="str">
        <f>IF(基本情報入力シート!W96="", "", 基本情報入力シート!W96)</f>
        <v/>
      </c>
      <c r="K68" s="600"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01" t="s">
        <v>170</v>
      </c>
      <c r="Q68" s="225"/>
      <c r="R68" s="602" t="s">
        <v>253</v>
      </c>
      <c r="S68" s="225"/>
      <c r="T68" s="602" t="s">
        <v>254</v>
      </c>
      <c r="U68" s="225"/>
      <c r="V68" s="602" t="s">
        <v>253</v>
      </c>
      <c r="W68" s="225"/>
      <c r="X68" s="602" t="s">
        <v>255</v>
      </c>
      <c r="Y68" s="602" t="s">
        <v>256</v>
      </c>
      <c r="Z68" s="602" t="str">
        <f t="shared" si="15"/>
        <v/>
      </c>
      <c r="AA68" s="603" t="s">
        <v>257</v>
      </c>
      <c r="AB68" s="604" t="str">
        <f t="shared" si="16"/>
        <v/>
      </c>
      <c r="AC68" s="605" t="str">
        <f>IFERROR(ROUNDDOWN(ROUNDDOWN(ROUND(L68*VLOOKUP(K68,【参考】数式用!$A$2:$M$57,MATCH("処遇改善加算Ⅳ",【参考】数式用!$G$3:$M$3,0)+6,0),0)*M68,0)*Z68*0.5,0), "")</f>
        <v/>
      </c>
      <c r="AD68" s="245"/>
      <c r="AE68" s="246"/>
      <c r="AF68" s="246"/>
      <c r="AG68" s="247"/>
      <c r="AH68" s="248"/>
      <c r="AI68" s="249"/>
      <c r="AJ68" s="250"/>
      <c r="AK68" s="606" t="str">
        <f t="shared" si="17"/>
        <v/>
      </c>
      <c r="AL68" s="607" t="str">
        <f t="shared" si="0"/>
        <v/>
      </c>
      <c r="AM68" s="608"/>
      <c r="AN68" s="609" t="str">
        <f>IFERROR(VLOOKUP(K68,【参考】数式用!$A$2:$N$57,14,FALSE),"")</f>
        <v/>
      </c>
      <c r="AO68" s="609" t="str">
        <f t="shared" si="1"/>
        <v/>
      </c>
      <c r="AP68" s="610" t="str">
        <f t="shared" si="18"/>
        <v/>
      </c>
      <c r="AQ68" s="610" t="str">
        <f t="shared" si="19"/>
        <v>キャリアパス要件Ⅰ・Ⅱ_</v>
      </c>
      <c r="AR68" s="611" t="str">
        <f t="shared" si="20"/>
        <v>入力済</v>
      </c>
      <c r="AS68" s="609" t="str">
        <f t="shared" si="2"/>
        <v/>
      </c>
      <c r="AT68" s="611" t="str">
        <f t="shared" si="3"/>
        <v>入力済</v>
      </c>
      <c r="AU68" s="611" t="str">
        <f t="shared" si="4"/>
        <v/>
      </c>
      <c r="AV68" s="611" t="str">
        <f t="shared" si="5"/>
        <v/>
      </c>
      <c r="AW68" s="609" t="str">
        <f t="shared" si="6"/>
        <v/>
      </c>
      <c r="AX68" s="609" t="str">
        <f t="shared" si="7"/>
        <v>入力済</v>
      </c>
      <c r="AY68" s="611" t="str">
        <f>IFERROR(VLOOKUP(K68,【参考】数式用!$AR$3:$AS$49, 2, FALSE), "")</f>
        <v/>
      </c>
      <c r="AZ68" s="609" t="str">
        <f t="shared" si="8"/>
        <v/>
      </c>
      <c r="BA68" s="612" t="str">
        <f t="shared" si="21"/>
        <v>入力済</v>
      </c>
      <c r="BB68" s="611" t="str">
        <f>IFERROR(VLOOKUP(K68,【参考】数式用!$AX$3:$AY$59, 2, FALSE), "")</f>
        <v/>
      </c>
      <c r="BC68" s="609" t="str">
        <f t="shared" si="9"/>
        <v/>
      </c>
      <c r="BD68" s="612" t="str">
        <f t="shared" si="38"/>
        <v>入力済</v>
      </c>
      <c r="BE68" s="612" t="str">
        <f t="shared" si="10"/>
        <v/>
      </c>
      <c r="BF68" s="612" t="str">
        <f t="shared" si="11"/>
        <v/>
      </c>
      <c r="BG68" s="612" t="str">
        <f t="shared" si="12"/>
        <v/>
      </c>
      <c r="BH68" s="612" t="str">
        <f t="shared" si="13"/>
        <v/>
      </c>
      <c r="BI68" s="612" t="str">
        <f t="shared" si="14"/>
        <v/>
      </c>
    </row>
    <row r="69" spans="1:61" ht="109.9" customHeight="1" thickBot="1">
      <c r="A69" s="599">
        <v>58</v>
      </c>
      <c r="B69" s="913" t="str">
        <f>IF(基本情報入力シート!B97="","",基本情報入力シート!B97)</f>
        <v/>
      </c>
      <c r="C69" s="914"/>
      <c r="D69" s="914"/>
      <c r="E69" s="914"/>
      <c r="F69" s="915"/>
      <c r="G69" s="600" t="str">
        <f>IF(基本情報入力シート!L97="", "", 基本情報入力シート!L97)</f>
        <v/>
      </c>
      <c r="H69" s="600" t="str">
        <f>IF(基本情報入力シート!Q97="", "", 基本情報入力シート!Q97)</f>
        <v/>
      </c>
      <c r="I69" s="600" t="str">
        <f>IF(基本情報入力シート!V97="", "", 基本情報入力シート!V97)</f>
        <v/>
      </c>
      <c r="J69" s="600" t="str">
        <f>IF(基本情報入力シート!W97="", "", 基本情報入力シート!W97)</f>
        <v/>
      </c>
      <c r="K69" s="600"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01" t="s">
        <v>170</v>
      </c>
      <c r="Q69" s="225"/>
      <c r="R69" s="602" t="s">
        <v>253</v>
      </c>
      <c r="S69" s="225"/>
      <c r="T69" s="602" t="s">
        <v>254</v>
      </c>
      <c r="U69" s="225"/>
      <c r="V69" s="602" t="s">
        <v>253</v>
      </c>
      <c r="W69" s="225"/>
      <c r="X69" s="602" t="s">
        <v>255</v>
      </c>
      <c r="Y69" s="602" t="s">
        <v>256</v>
      </c>
      <c r="Z69" s="602" t="str">
        <f t="shared" si="15"/>
        <v/>
      </c>
      <c r="AA69" s="603" t="s">
        <v>257</v>
      </c>
      <c r="AB69" s="604" t="str">
        <f t="shared" si="16"/>
        <v/>
      </c>
      <c r="AC69" s="605" t="str">
        <f>IFERROR(ROUNDDOWN(ROUNDDOWN(ROUND(L69*VLOOKUP(K69,【参考】数式用!$A$2:$M$57,MATCH("処遇改善加算Ⅳ",【参考】数式用!$G$3:$M$3,0)+6,0),0)*M69,0)*Z69*0.5,0), "")</f>
        <v/>
      </c>
      <c r="AD69" s="245"/>
      <c r="AE69" s="246"/>
      <c r="AF69" s="246"/>
      <c r="AG69" s="247"/>
      <c r="AH69" s="248"/>
      <c r="AI69" s="249"/>
      <c r="AJ69" s="250"/>
      <c r="AK69" s="606" t="str">
        <f t="shared" si="17"/>
        <v/>
      </c>
      <c r="AL69" s="607" t="str">
        <f t="shared" si="0"/>
        <v/>
      </c>
      <c r="AM69" s="608"/>
      <c r="AN69" s="609" t="str">
        <f>IFERROR(VLOOKUP(K69,【参考】数式用!$A$2:$N$57,14,FALSE),"")</f>
        <v/>
      </c>
      <c r="AO69" s="609" t="str">
        <f t="shared" si="1"/>
        <v/>
      </c>
      <c r="AP69" s="610" t="str">
        <f t="shared" si="18"/>
        <v/>
      </c>
      <c r="AQ69" s="610" t="str">
        <f t="shared" si="19"/>
        <v>キャリアパス要件Ⅰ・Ⅱ_</v>
      </c>
      <c r="AR69" s="611" t="str">
        <f t="shared" si="20"/>
        <v>入力済</v>
      </c>
      <c r="AS69" s="609" t="str">
        <f t="shared" si="2"/>
        <v/>
      </c>
      <c r="AT69" s="611" t="str">
        <f t="shared" si="3"/>
        <v>入力済</v>
      </c>
      <c r="AU69" s="611" t="str">
        <f t="shared" si="4"/>
        <v/>
      </c>
      <c r="AV69" s="611" t="str">
        <f t="shared" si="5"/>
        <v/>
      </c>
      <c r="AW69" s="609" t="str">
        <f t="shared" si="6"/>
        <v/>
      </c>
      <c r="AX69" s="609" t="str">
        <f t="shared" si="7"/>
        <v>入力済</v>
      </c>
      <c r="AY69" s="611" t="str">
        <f>IFERROR(VLOOKUP(K69,【参考】数式用!$AR$3:$AS$49, 2, FALSE), "")</f>
        <v/>
      </c>
      <c r="AZ69" s="609" t="str">
        <f t="shared" si="8"/>
        <v/>
      </c>
      <c r="BA69" s="612" t="str">
        <f t="shared" si="21"/>
        <v>入力済</v>
      </c>
      <c r="BB69" s="611" t="str">
        <f>IFERROR(VLOOKUP(K69,【参考】数式用!$AX$3:$AY$59, 2, FALSE), "")</f>
        <v/>
      </c>
      <c r="BC69" s="609" t="str">
        <f t="shared" si="9"/>
        <v/>
      </c>
      <c r="BD69" s="612" t="str">
        <f t="shared" si="38"/>
        <v>入力済</v>
      </c>
      <c r="BE69" s="612" t="str">
        <f t="shared" si="10"/>
        <v/>
      </c>
      <c r="BF69" s="612" t="str">
        <f t="shared" si="11"/>
        <v/>
      </c>
      <c r="BG69" s="612" t="str">
        <f t="shared" si="12"/>
        <v/>
      </c>
      <c r="BH69" s="612" t="str">
        <f t="shared" si="13"/>
        <v/>
      </c>
      <c r="BI69" s="612" t="str">
        <f t="shared" si="14"/>
        <v/>
      </c>
    </row>
    <row r="70" spans="1:61" ht="109.9" customHeight="1" thickBot="1">
      <c r="A70" s="599">
        <v>59</v>
      </c>
      <c r="B70" s="913" t="str">
        <f>IF(基本情報入力シート!B98="","",基本情報入力シート!B98)</f>
        <v/>
      </c>
      <c r="C70" s="914"/>
      <c r="D70" s="914"/>
      <c r="E70" s="914"/>
      <c r="F70" s="915"/>
      <c r="G70" s="600" t="str">
        <f>IF(基本情報入力シート!L98="", "", 基本情報入力シート!L98)</f>
        <v/>
      </c>
      <c r="H70" s="600" t="str">
        <f>IF(基本情報入力シート!Q98="", "", 基本情報入力シート!Q98)</f>
        <v/>
      </c>
      <c r="I70" s="600" t="str">
        <f>IF(基本情報入力シート!V98="", "", 基本情報入力シート!V98)</f>
        <v/>
      </c>
      <c r="J70" s="600" t="str">
        <f>IF(基本情報入力シート!W98="", "", 基本情報入力シート!W98)</f>
        <v/>
      </c>
      <c r="K70" s="600"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01" t="s">
        <v>170</v>
      </c>
      <c r="Q70" s="225"/>
      <c r="R70" s="602" t="s">
        <v>253</v>
      </c>
      <c r="S70" s="225"/>
      <c r="T70" s="602" t="s">
        <v>254</v>
      </c>
      <c r="U70" s="225"/>
      <c r="V70" s="602" t="s">
        <v>253</v>
      </c>
      <c r="W70" s="225"/>
      <c r="X70" s="602" t="s">
        <v>172</v>
      </c>
      <c r="Y70" s="602" t="s">
        <v>256</v>
      </c>
      <c r="Z70" s="602" t="str">
        <f t="shared" si="15"/>
        <v/>
      </c>
      <c r="AA70" s="603" t="s">
        <v>257</v>
      </c>
      <c r="AB70" s="604" t="str">
        <f t="shared" si="16"/>
        <v/>
      </c>
      <c r="AC70" s="605" t="str">
        <f>IFERROR(ROUNDDOWN(ROUNDDOWN(ROUND(L70*VLOOKUP(K70,【参考】数式用!$A$2:$M$57,MATCH("処遇改善加算Ⅳ",【参考】数式用!$G$3:$M$3,0)+6,0),0)*M70,0)*Z70*0.5,0), "")</f>
        <v/>
      </c>
      <c r="AD70" s="245"/>
      <c r="AE70" s="246"/>
      <c r="AF70" s="246"/>
      <c r="AG70" s="247"/>
      <c r="AH70" s="248"/>
      <c r="AI70" s="249"/>
      <c r="AJ70" s="250"/>
      <c r="AK70" s="606" t="str">
        <f t="shared" si="17"/>
        <v/>
      </c>
      <c r="AL70" s="607" t="str">
        <f t="shared" si="0"/>
        <v/>
      </c>
      <c r="AM70" s="608"/>
      <c r="AN70" s="609" t="str">
        <f>IFERROR(VLOOKUP(K70,【参考】数式用!$A$2:$N$57,14,FALSE),"")</f>
        <v/>
      </c>
      <c r="AO70" s="609" t="str">
        <f t="shared" si="1"/>
        <v/>
      </c>
      <c r="AP70" s="610" t="str">
        <f t="shared" si="18"/>
        <v/>
      </c>
      <c r="AQ70" s="610" t="str">
        <f t="shared" si="19"/>
        <v>キャリアパス要件Ⅰ・Ⅱ_</v>
      </c>
      <c r="AR70" s="611" t="str">
        <f t="shared" si="20"/>
        <v>入力済</v>
      </c>
      <c r="AS70" s="609" t="str">
        <f t="shared" si="2"/>
        <v/>
      </c>
      <c r="AT70" s="611" t="str">
        <f t="shared" si="3"/>
        <v>入力済</v>
      </c>
      <c r="AU70" s="611" t="str">
        <f t="shared" si="4"/>
        <v/>
      </c>
      <c r="AV70" s="611" t="str">
        <f t="shared" si="5"/>
        <v/>
      </c>
      <c r="AW70" s="609" t="str">
        <f t="shared" si="6"/>
        <v/>
      </c>
      <c r="AX70" s="609" t="str">
        <f t="shared" si="7"/>
        <v>入力済</v>
      </c>
      <c r="AY70" s="611" t="str">
        <f>IFERROR(VLOOKUP(K70,【参考】数式用!$AR$3:$AS$49, 2, FALSE), "")</f>
        <v/>
      </c>
      <c r="AZ70" s="609" t="str">
        <f t="shared" si="8"/>
        <v/>
      </c>
      <c r="BA70" s="612" t="str">
        <f t="shared" si="21"/>
        <v>入力済</v>
      </c>
      <c r="BB70" s="611" t="str">
        <f>IFERROR(VLOOKUP(K70,【参考】数式用!$AX$3:$AY$59, 2, FALSE), "")</f>
        <v/>
      </c>
      <c r="BC70" s="609" t="str">
        <f t="shared" si="9"/>
        <v/>
      </c>
      <c r="BD70" s="612" t="str">
        <f t="shared" si="38"/>
        <v>入力済</v>
      </c>
      <c r="BE70" s="612" t="str">
        <f t="shared" si="10"/>
        <v/>
      </c>
      <c r="BF70" s="612" t="str">
        <f t="shared" si="11"/>
        <v/>
      </c>
      <c r="BG70" s="612" t="str">
        <f t="shared" si="12"/>
        <v/>
      </c>
      <c r="BH70" s="612" t="str">
        <f t="shared" si="13"/>
        <v/>
      </c>
      <c r="BI70" s="612" t="str">
        <f t="shared" si="14"/>
        <v/>
      </c>
    </row>
    <row r="71" spans="1:61" ht="109.9" customHeight="1" thickBot="1">
      <c r="A71" s="599">
        <v>60</v>
      </c>
      <c r="B71" s="913" t="str">
        <f>IF(基本情報入力シート!B99="","",基本情報入力シート!B99)</f>
        <v/>
      </c>
      <c r="C71" s="914"/>
      <c r="D71" s="914"/>
      <c r="E71" s="914"/>
      <c r="F71" s="915"/>
      <c r="G71" s="600" t="str">
        <f>IF(基本情報入力シート!L99="", "", 基本情報入力シート!L99)</f>
        <v/>
      </c>
      <c r="H71" s="600" t="str">
        <f>IF(基本情報入力シート!Q99="", "", 基本情報入力シート!Q99)</f>
        <v/>
      </c>
      <c r="I71" s="600" t="str">
        <f>IF(基本情報入力シート!V99="", "", 基本情報入力シート!V99)</f>
        <v/>
      </c>
      <c r="J71" s="600" t="str">
        <f>IF(基本情報入力シート!W99="", "", 基本情報入力シート!W99)</f>
        <v/>
      </c>
      <c r="K71" s="600"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01" t="s">
        <v>170</v>
      </c>
      <c r="Q71" s="225"/>
      <c r="R71" s="602" t="s">
        <v>253</v>
      </c>
      <c r="S71" s="225"/>
      <c r="T71" s="602" t="s">
        <v>254</v>
      </c>
      <c r="U71" s="225"/>
      <c r="V71" s="602" t="s">
        <v>253</v>
      </c>
      <c r="W71" s="225"/>
      <c r="X71" s="602" t="s">
        <v>172</v>
      </c>
      <c r="Y71" s="602" t="s">
        <v>256</v>
      </c>
      <c r="Z71" s="602" t="str">
        <f t="shared" si="15"/>
        <v/>
      </c>
      <c r="AA71" s="603" t="s">
        <v>257</v>
      </c>
      <c r="AB71" s="604" t="str">
        <f t="shared" si="16"/>
        <v/>
      </c>
      <c r="AC71" s="605" t="str">
        <f>IFERROR(ROUNDDOWN(ROUNDDOWN(ROUND(L71*VLOOKUP(K71,【参考】数式用!$A$2:$M$57,MATCH("処遇改善加算Ⅳ",【参考】数式用!$G$3:$M$3,0)+6,0),0)*M71,0)*Z71*0.5,0), "")</f>
        <v/>
      </c>
      <c r="AD71" s="245"/>
      <c r="AE71" s="246"/>
      <c r="AF71" s="246"/>
      <c r="AG71" s="247"/>
      <c r="AH71" s="248"/>
      <c r="AI71" s="249"/>
      <c r="AJ71" s="250"/>
      <c r="AK71" s="606" t="str">
        <f t="shared" si="17"/>
        <v/>
      </c>
      <c r="AL71" s="607" t="str">
        <f t="shared" si="0"/>
        <v/>
      </c>
      <c r="AM71" s="608"/>
      <c r="AN71" s="609" t="str">
        <f>IFERROR(VLOOKUP(K71,【参考】数式用!$A$2:$N$57,14,FALSE),"")</f>
        <v/>
      </c>
      <c r="AO71" s="609" t="str">
        <f t="shared" si="1"/>
        <v/>
      </c>
      <c r="AP71" s="610" t="str">
        <f t="shared" si="18"/>
        <v/>
      </c>
      <c r="AQ71" s="610" t="str">
        <f t="shared" si="19"/>
        <v>キャリアパス要件Ⅰ・Ⅱ_</v>
      </c>
      <c r="AR71" s="611" t="str">
        <f t="shared" si="20"/>
        <v>入力済</v>
      </c>
      <c r="AS71" s="609" t="str">
        <f t="shared" si="2"/>
        <v/>
      </c>
      <c r="AT71" s="611" t="str">
        <f t="shared" si="3"/>
        <v>入力済</v>
      </c>
      <c r="AU71" s="611" t="str">
        <f t="shared" si="4"/>
        <v/>
      </c>
      <c r="AV71" s="611" t="str">
        <f t="shared" si="5"/>
        <v/>
      </c>
      <c r="AW71" s="609" t="str">
        <f t="shared" si="6"/>
        <v/>
      </c>
      <c r="AX71" s="609" t="str">
        <f t="shared" si="7"/>
        <v>入力済</v>
      </c>
      <c r="AY71" s="611" t="str">
        <f>IFERROR(VLOOKUP(K71,【参考】数式用!$AR$3:$AS$49, 2, FALSE), "")</f>
        <v/>
      </c>
      <c r="AZ71" s="609" t="str">
        <f t="shared" si="8"/>
        <v/>
      </c>
      <c r="BA71" s="612" t="str">
        <f t="shared" si="21"/>
        <v>入力済</v>
      </c>
      <c r="BB71" s="611" t="str">
        <f>IFERROR(VLOOKUP(K71,【参考】数式用!$AX$3:$AY$59, 2, FALSE), "")</f>
        <v/>
      </c>
      <c r="BC71" s="609" t="str">
        <f t="shared" si="9"/>
        <v/>
      </c>
      <c r="BD71" s="612" t="str">
        <f t="shared" si="38"/>
        <v>入力済</v>
      </c>
      <c r="BE71" s="612" t="str">
        <f t="shared" si="10"/>
        <v/>
      </c>
      <c r="BF71" s="612" t="str">
        <f t="shared" si="11"/>
        <v/>
      </c>
      <c r="BG71" s="612" t="str">
        <f t="shared" si="12"/>
        <v/>
      </c>
      <c r="BH71" s="612" t="str">
        <f t="shared" si="13"/>
        <v/>
      </c>
      <c r="BI71" s="612" t="str">
        <f t="shared" si="14"/>
        <v/>
      </c>
    </row>
    <row r="72" spans="1:61" ht="109.9" customHeight="1" thickBot="1">
      <c r="A72" s="599">
        <v>61</v>
      </c>
      <c r="B72" s="913" t="str">
        <f>IF(基本情報入力シート!B100="","",基本情報入力シート!B100)</f>
        <v/>
      </c>
      <c r="C72" s="914"/>
      <c r="D72" s="914"/>
      <c r="E72" s="914"/>
      <c r="F72" s="915"/>
      <c r="G72" s="600" t="str">
        <f>IF(基本情報入力シート!L100="", "", 基本情報入力シート!L100)</f>
        <v/>
      </c>
      <c r="H72" s="600" t="str">
        <f>IF(基本情報入力シート!Q100="", "", 基本情報入力シート!Q100)</f>
        <v/>
      </c>
      <c r="I72" s="600" t="str">
        <f>IF(基本情報入力シート!V100="", "", 基本情報入力シート!V100)</f>
        <v/>
      </c>
      <c r="J72" s="600" t="str">
        <f>IF(基本情報入力シート!W100="", "", 基本情報入力シート!W100)</f>
        <v/>
      </c>
      <c r="K72" s="600"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01" t="s">
        <v>170</v>
      </c>
      <c r="Q72" s="225"/>
      <c r="R72" s="602" t="s">
        <v>253</v>
      </c>
      <c r="S72" s="225"/>
      <c r="T72" s="602" t="s">
        <v>254</v>
      </c>
      <c r="U72" s="225"/>
      <c r="V72" s="602" t="s">
        <v>253</v>
      </c>
      <c r="W72" s="225"/>
      <c r="X72" s="602" t="s">
        <v>255</v>
      </c>
      <c r="Y72" s="602" t="s">
        <v>256</v>
      </c>
      <c r="Z72" s="602" t="str">
        <f t="shared" si="15"/>
        <v/>
      </c>
      <c r="AA72" s="603" t="s">
        <v>257</v>
      </c>
      <c r="AB72" s="604" t="str">
        <f t="shared" si="16"/>
        <v/>
      </c>
      <c r="AC72" s="605" t="str">
        <f>IFERROR(ROUNDDOWN(ROUNDDOWN(ROUND(L72*VLOOKUP(K72,【参考】数式用!$A$2:$M$57,MATCH("処遇改善加算Ⅳ",【参考】数式用!$G$3:$M$3,0)+6,0),0)*M72,0)*Z72*0.5,0), "")</f>
        <v/>
      </c>
      <c r="AD72" s="245"/>
      <c r="AE72" s="246"/>
      <c r="AF72" s="246"/>
      <c r="AG72" s="247"/>
      <c r="AH72" s="248"/>
      <c r="AI72" s="249"/>
      <c r="AJ72" s="250"/>
      <c r="AK72" s="606" t="str">
        <f t="shared" si="17"/>
        <v/>
      </c>
      <c r="AL72" s="607" t="str">
        <f t="shared" si="0"/>
        <v/>
      </c>
      <c r="AM72" s="608"/>
      <c r="AN72" s="609" t="str">
        <f>IFERROR(VLOOKUP(K72,【参考】数式用!$A$2:$N$57,14,FALSE),"")</f>
        <v/>
      </c>
      <c r="AO72" s="609" t="str">
        <f t="shared" si="1"/>
        <v/>
      </c>
      <c r="AP72" s="610" t="str">
        <f t="shared" si="18"/>
        <v/>
      </c>
      <c r="AQ72" s="610" t="str">
        <f t="shared" si="19"/>
        <v>キャリアパス要件Ⅰ・Ⅱ_</v>
      </c>
      <c r="AR72" s="611" t="str">
        <f t="shared" si="20"/>
        <v>入力済</v>
      </c>
      <c r="AS72" s="609" t="str">
        <f t="shared" si="2"/>
        <v/>
      </c>
      <c r="AT72" s="611" t="str">
        <f t="shared" si="3"/>
        <v>入力済</v>
      </c>
      <c r="AU72" s="611" t="str">
        <f t="shared" si="4"/>
        <v/>
      </c>
      <c r="AV72" s="611" t="str">
        <f t="shared" si="5"/>
        <v/>
      </c>
      <c r="AW72" s="609" t="str">
        <f t="shared" si="6"/>
        <v/>
      </c>
      <c r="AX72" s="609" t="str">
        <f t="shared" si="7"/>
        <v>入力済</v>
      </c>
      <c r="AY72" s="611" t="str">
        <f>IFERROR(VLOOKUP(K72,【参考】数式用!$AR$3:$AS$49, 2, FALSE), "")</f>
        <v/>
      </c>
      <c r="AZ72" s="609" t="str">
        <f t="shared" si="8"/>
        <v/>
      </c>
      <c r="BA72" s="612" t="str">
        <f t="shared" si="21"/>
        <v>入力済</v>
      </c>
      <c r="BB72" s="611" t="str">
        <f>IFERROR(VLOOKUP(K72,【参考】数式用!$AX$3:$AY$59, 2, FALSE), "")</f>
        <v/>
      </c>
      <c r="BC72" s="609" t="str">
        <f t="shared" si="9"/>
        <v/>
      </c>
      <c r="BD72" s="612" t="str">
        <f t="shared" si="38"/>
        <v>入力済</v>
      </c>
      <c r="BE72" s="612" t="str">
        <f t="shared" si="10"/>
        <v/>
      </c>
      <c r="BF72" s="612" t="str">
        <f t="shared" si="11"/>
        <v/>
      </c>
      <c r="BG72" s="612" t="str">
        <f t="shared" si="12"/>
        <v/>
      </c>
      <c r="BH72" s="612" t="str">
        <f t="shared" si="13"/>
        <v/>
      </c>
      <c r="BI72" s="612" t="str">
        <f t="shared" si="14"/>
        <v/>
      </c>
    </row>
    <row r="73" spans="1:61" ht="109.9" customHeight="1" thickBot="1">
      <c r="A73" s="599">
        <v>62</v>
      </c>
      <c r="B73" s="913" t="str">
        <f>IF(基本情報入力シート!B101="","",基本情報入力シート!B101)</f>
        <v/>
      </c>
      <c r="C73" s="914"/>
      <c r="D73" s="914"/>
      <c r="E73" s="914"/>
      <c r="F73" s="915"/>
      <c r="G73" s="600" t="str">
        <f>IF(基本情報入力シート!L101="", "", 基本情報入力シート!L101)</f>
        <v/>
      </c>
      <c r="H73" s="600" t="str">
        <f>IF(基本情報入力シート!Q101="", "", 基本情報入力シート!Q101)</f>
        <v/>
      </c>
      <c r="I73" s="600" t="str">
        <f>IF(基本情報入力シート!V101="", "", 基本情報入力シート!V101)</f>
        <v/>
      </c>
      <c r="J73" s="600" t="str">
        <f>IF(基本情報入力シート!W101="", "", 基本情報入力シート!W101)</f>
        <v/>
      </c>
      <c r="K73" s="600"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01" t="s">
        <v>170</v>
      </c>
      <c r="Q73" s="225"/>
      <c r="R73" s="602" t="s">
        <v>253</v>
      </c>
      <c r="S73" s="225"/>
      <c r="T73" s="602" t="s">
        <v>254</v>
      </c>
      <c r="U73" s="225"/>
      <c r="V73" s="602" t="s">
        <v>253</v>
      </c>
      <c r="W73" s="225"/>
      <c r="X73" s="602" t="s">
        <v>255</v>
      </c>
      <c r="Y73" s="602" t="s">
        <v>256</v>
      </c>
      <c r="Z73" s="602" t="str">
        <f t="shared" si="15"/>
        <v/>
      </c>
      <c r="AA73" s="603" t="s">
        <v>257</v>
      </c>
      <c r="AB73" s="604" t="str">
        <f t="shared" si="16"/>
        <v/>
      </c>
      <c r="AC73" s="605" t="str">
        <f>IFERROR(ROUNDDOWN(ROUNDDOWN(ROUND(L73*VLOOKUP(K73,【参考】数式用!$A$2:$M$57,MATCH("処遇改善加算Ⅳ",【参考】数式用!$G$3:$M$3,0)+6,0),0)*M73,0)*Z73*0.5,0), "")</f>
        <v/>
      </c>
      <c r="AD73" s="245"/>
      <c r="AE73" s="246"/>
      <c r="AF73" s="246"/>
      <c r="AG73" s="247"/>
      <c r="AH73" s="248"/>
      <c r="AI73" s="249"/>
      <c r="AJ73" s="250"/>
      <c r="AK73" s="606" t="str">
        <f t="shared" si="17"/>
        <v/>
      </c>
      <c r="AL73" s="607" t="str">
        <f t="shared" si="0"/>
        <v/>
      </c>
      <c r="AM73" s="608"/>
      <c r="AN73" s="609" t="str">
        <f>IFERROR(VLOOKUP(K73,【参考】数式用!$A$2:$N$57,14,FALSE),"")</f>
        <v/>
      </c>
      <c r="AO73" s="609" t="str">
        <f t="shared" si="1"/>
        <v/>
      </c>
      <c r="AP73" s="610" t="str">
        <f t="shared" si="18"/>
        <v/>
      </c>
      <c r="AQ73" s="610" t="str">
        <f t="shared" si="19"/>
        <v>キャリアパス要件Ⅰ・Ⅱ_</v>
      </c>
      <c r="AR73" s="611" t="str">
        <f t="shared" si="20"/>
        <v>入力済</v>
      </c>
      <c r="AS73" s="609" t="str">
        <f t="shared" si="2"/>
        <v/>
      </c>
      <c r="AT73" s="611" t="str">
        <f t="shared" si="3"/>
        <v>入力済</v>
      </c>
      <c r="AU73" s="611" t="str">
        <f t="shared" si="4"/>
        <v/>
      </c>
      <c r="AV73" s="611" t="str">
        <f t="shared" si="5"/>
        <v/>
      </c>
      <c r="AW73" s="609" t="str">
        <f t="shared" si="6"/>
        <v/>
      </c>
      <c r="AX73" s="609" t="str">
        <f t="shared" si="7"/>
        <v>入力済</v>
      </c>
      <c r="AY73" s="611" t="str">
        <f>IFERROR(VLOOKUP(K73,【参考】数式用!$AR$3:$AS$49, 2, FALSE), "")</f>
        <v/>
      </c>
      <c r="AZ73" s="609" t="str">
        <f t="shared" si="8"/>
        <v/>
      </c>
      <c r="BA73" s="612" t="str">
        <f t="shared" si="21"/>
        <v>入力済</v>
      </c>
      <c r="BB73" s="611" t="str">
        <f>IFERROR(VLOOKUP(K73,【参考】数式用!$AX$3:$AY$59, 2, FALSE), "")</f>
        <v/>
      </c>
      <c r="BC73" s="609" t="str">
        <f t="shared" si="9"/>
        <v/>
      </c>
      <c r="BD73" s="612" t="str">
        <f t="shared" si="38"/>
        <v>入力済</v>
      </c>
      <c r="BE73" s="612" t="str">
        <f t="shared" si="10"/>
        <v/>
      </c>
      <c r="BF73" s="612" t="str">
        <f t="shared" si="11"/>
        <v/>
      </c>
      <c r="BG73" s="612" t="str">
        <f t="shared" si="12"/>
        <v/>
      </c>
      <c r="BH73" s="612" t="str">
        <f t="shared" si="13"/>
        <v/>
      </c>
      <c r="BI73" s="612" t="str">
        <f t="shared" si="14"/>
        <v/>
      </c>
    </row>
    <row r="74" spans="1:61" ht="109.9" customHeight="1" thickBot="1">
      <c r="A74" s="599">
        <v>63</v>
      </c>
      <c r="B74" s="913" t="str">
        <f>IF(基本情報入力シート!B102="","",基本情報入力シート!B102)</f>
        <v/>
      </c>
      <c r="C74" s="914"/>
      <c r="D74" s="914"/>
      <c r="E74" s="914"/>
      <c r="F74" s="915"/>
      <c r="G74" s="600" t="str">
        <f>IF(基本情報入力シート!L102="", "", 基本情報入力シート!L102)</f>
        <v/>
      </c>
      <c r="H74" s="600" t="str">
        <f>IF(基本情報入力シート!Q102="", "", 基本情報入力シート!Q102)</f>
        <v/>
      </c>
      <c r="I74" s="600" t="str">
        <f>IF(基本情報入力シート!V102="", "", 基本情報入力シート!V102)</f>
        <v/>
      </c>
      <c r="J74" s="600" t="str">
        <f>IF(基本情報入力シート!W102="", "", 基本情報入力シート!W102)</f>
        <v/>
      </c>
      <c r="K74" s="600"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01" t="s">
        <v>170</v>
      </c>
      <c r="Q74" s="225"/>
      <c r="R74" s="602" t="s">
        <v>253</v>
      </c>
      <c r="S74" s="225"/>
      <c r="T74" s="602" t="s">
        <v>254</v>
      </c>
      <c r="U74" s="225"/>
      <c r="V74" s="602" t="s">
        <v>253</v>
      </c>
      <c r="W74" s="225"/>
      <c r="X74" s="602" t="s">
        <v>255</v>
      </c>
      <c r="Y74" s="602" t="s">
        <v>256</v>
      </c>
      <c r="Z74" s="602" t="str">
        <f t="shared" si="15"/>
        <v/>
      </c>
      <c r="AA74" s="603" t="s">
        <v>257</v>
      </c>
      <c r="AB74" s="604" t="str">
        <f t="shared" si="16"/>
        <v/>
      </c>
      <c r="AC74" s="605" t="str">
        <f>IFERROR(ROUNDDOWN(ROUNDDOWN(ROUND(L74*VLOOKUP(K74,【参考】数式用!$A$2:$M$57,MATCH("処遇改善加算Ⅳ",【参考】数式用!$G$3:$M$3,0)+6,0),0)*M74,0)*Z74*0.5,0), "")</f>
        <v/>
      </c>
      <c r="AD74" s="245"/>
      <c r="AE74" s="246"/>
      <c r="AF74" s="246"/>
      <c r="AG74" s="247"/>
      <c r="AH74" s="248"/>
      <c r="AI74" s="249"/>
      <c r="AJ74" s="250"/>
      <c r="AK74" s="606" t="str">
        <f t="shared" si="17"/>
        <v/>
      </c>
      <c r="AL74" s="607" t="str">
        <f t="shared" si="0"/>
        <v/>
      </c>
      <c r="AM74" s="608"/>
      <c r="AN74" s="609" t="str">
        <f>IFERROR(VLOOKUP(K74,【参考】数式用!$A$2:$N$57,14,FALSE),"")</f>
        <v/>
      </c>
      <c r="AO74" s="609" t="str">
        <f t="shared" si="1"/>
        <v/>
      </c>
      <c r="AP74" s="610" t="str">
        <f t="shared" si="18"/>
        <v/>
      </c>
      <c r="AQ74" s="610" t="str">
        <f t="shared" si="19"/>
        <v>キャリアパス要件Ⅰ・Ⅱ_</v>
      </c>
      <c r="AR74" s="611" t="str">
        <f t="shared" si="20"/>
        <v>入力済</v>
      </c>
      <c r="AS74" s="609" t="str">
        <f t="shared" si="2"/>
        <v/>
      </c>
      <c r="AT74" s="611" t="str">
        <f t="shared" si="3"/>
        <v>入力済</v>
      </c>
      <c r="AU74" s="611" t="str">
        <f t="shared" si="4"/>
        <v/>
      </c>
      <c r="AV74" s="611" t="str">
        <f t="shared" si="5"/>
        <v/>
      </c>
      <c r="AW74" s="609" t="str">
        <f t="shared" si="6"/>
        <v/>
      </c>
      <c r="AX74" s="609" t="str">
        <f t="shared" si="7"/>
        <v>入力済</v>
      </c>
      <c r="AY74" s="611" t="str">
        <f>IFERROR(VLOOKUP(K74,【参考】数式用!$AR$3:$AS$49, 2, FALSE), "")</f>
        <v/>
      </c>
      <c r="AZ74" s="609" t="str">
        <f t="shared" si="8"/>
        <v/>
      </c>
      <c r="BA74" s="612" t="str">
        <f t="shared" si="21"/>
        <v>入力済</v>
      </c>
      <c r="BB74" s="611" t="str">
        <f>IFERROR(VLOOKUP(K74,【参考】数式用!$AX$3:$AY$59, 2, FALSE), "")</f>
        <v/>
      </c>
      <c r="BC74" s="609" t="str">
        <f t="shared" si="9"/>
        <v/>
      </c>
      <c r="BD74" s="612" t="str">
        <f t="shared" si="38"/>
        <v>入力済</v>
      </c>
      <c r="BE74" s="612" t="str">
        <f t="shared" si="10"/>
        <v/>
      </c>
      <c r="BF74" s="612" t="str">
        <f t="shared" si="11"/>
        <v/>
      </c>
      <c r="BG74" s="612" t="str">
        <f t="shared" si="12"/>
        <v/>
      </c>
      <c r="BH74" s="612" t="str">
        <f t="shared" si="13"/>
        <v/>
      </c>
      <c r="BI74" s="612" t="str">
        <f t="shared" si="14"/>
        <v/>
      </c>
    </row>
    <row r="75" spans="1:61" ht="109.9" customHeight="1" thickBot="1">
      <c r="A75" s="599">
        <v>64</v>
      </c>
      <c r="B75" s="913" t="str">
        <f>IF(基本情報入力シート!B103="","",基本情報入力シート!B103)</f>
        <v/>
      </c>
      <c r="C75" s="914"/>
      <c r="D75" s="914"/>
      <c r="E75" s="914"/>
      <c r="F75" s="915"/>
      <c r="G75" s="600" t="str">
        <f>IF(基本情報入力シート!L103="", "", 基本情報入力シート!L103)</f>
        <v/>
      </c>
      <c r="H75" s="600" t="str">
        <f>IF(基本情報入力シート!Q103="", "", 基本情報入力シート!Q103)</f>
        <v/>
      </c>
      <c r="I75" s="600" t="str">
        <f>IF(基本情報入力シート!V103="", "", 基本情報入力シート!V103)</f>
        <v/>
      </c>
      <c r="J75" s="600" t="str">
        <f>IF(基本情報入力シート!W103="", "", 基本情報入力シート!W103)</f>
        <v/>
      </c>
      <c r="K75" s="600"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01" t="s">
        <v>170</v>
      </c>
      <c r="Q75" s="225"/>
      <c r="R75" s="602" t="s">
        <v>253</v>
      </c>
      <c r="S75" s="225"/>
      <c r="T75" s="602" t="s">
        <v>254</v>
      </c>
      <c r="U75" s="225"/>
      <c r="V75" s="602" t="s">
        <v>253</v>
      </c>
      <c r="W75" s="225"/>
      <c r="X75" s="602" t="s">
        <v>172</v>
      </c>
      <c r="Y75" s="602" t="s">
        <v>256</v>
      </c>
      <c r="Z75" s="602" t="str">
        <f t="shared" si="15"/>
        <v/>
      </c>
      <c r="AA75" s="603" t="s">
        <v>257</v>
      </c>
      <c r="AB75" s="604" t="str">
        <f t="shared" si="16"/>
        <v/>
      </c>
      <c r="AC75" s="605" t="str">
        <f>IFERROR(ROUNDDOWN(ROUNDDOWN(ROUND(L75*VLOOKUP(K75,【参考】数式用!$A$2:$M$57,MATCH("処遇改善加算Ⅳ",【参考】数式用!$G$3:$M$3,0)+6,0),0)*M75,0)*Z75*0.5,0), "")</f>
        <v/>
      </c>
      <c r="AD75" s="245"/>
      <c r="AE75" s="246"/>
      <c r="AF75" s="246"/>
      <c r="AG75" s="247"/>
      <c r="AH75" s="248"/>
      <c r="AI75" s="249"/>
      <c r="AJ75" s="250"/>
      <c r="AK75" s="606" t="str">
        <f t="shared" si="17"/>
        <v/>
      </c>
      <c r="AL75" s="607" t="str">
        <f t="shared" si="0"/>
        <v/>
      </c>
      <c r="AM75" s="608"/>
      <c r="AN75" s="609" t="str">
        <f>IFERROR(VLOOKUP(K75,【参考】数式用!$A$2:$N$57,14,FALSE),"")</f>
        <v/>
      </c>
      <c r="AO75" s="609" t="str">
        <f t="shared" si="1"/>
        <v/>
      </c>
      <c r="AP75" s="610" t="str">
        <f t="shared" si="18"/>
        <v/>
      </c>
      <c r="AQ75" s="610" t="str">
        <f t="shared" si="19"/>
        <v>キャリアパス要件Ⅰ・Ⅱ_</v>
      </c>
      <c r="AR75" s="611" t="str">
        <f t="shared" si="20"/>
        <v>入力済</v>
      </c>
      <c r="AS75" s="609" t="str">
        <f t="shared" si="2"/>
        <v/>
      </c>
      <c r="AT75" s="611" t="str">
        <f t="shared" si="3"/>
        <v>入力済</v>
      </c>
      <c r="AU75" s="611" t="str">
        <f t="shared" si="4"/>
        <v/>
      </c>
      <c r="AV75" s="611" t="str">
        <f t="shared" si="5"/>
        <v/>
      </c>
      <c r="AW75" s="609" t="str">
        <f t="shared" si="6"/>
        <v/>
      </c>
      <c r="AX75" s="609" t="str">
        <f t="shared" si="7"/>
        <v>入力済</v>
      </c>
      <c r="AY75" s="611" t="str">
        <f>IFERROR(VLOOKUP(K75,【参考】数式用!$AR$3:$AS$49, 2, FALSE), "")</f>
        <v/>
      </c>
      <c r="AZ75" s="609" t="str">
        <f t="shared" si="8"/>
        <v/>
      </c>
      <c r="BA75" s="612" t="str">
        <f t="shared" si="21"/>
        <v>入力済</v>
      </c>
      <c r="BB75" s="611" t="str">
        <f>IFERROR(VLOOKUP(K75,【参考】数式用!$AX$3:$AY$59, 2, FALSE), "")</f>
        <v/>
      </c>
      <c r="BC75" s="609" t="str">
        <f t="shared" si="9"/>
        <v/>
      </c>
      <c r="BD75" s="612" t="str">
        <f t="shared" si="38"/>
        <v>入力済</v>
      </c>
      <c r="BE75" s="612" t="str">
        <f t="shared" si="10"/>
        <v/>
      </c>
      <c r="BF75" s="612" t="str">
        <f t="shared" si="11"/>
        <v/>
      </c>
      <c r="BG75" s="612" t="str">
        <f t="shared" si="12"/>
        <v/>
      </c>
      <c r="BH75" s="612" t="str">
        <f t="shared" si="13"/>
        <v/>
      </c>
      <c r="BI75" s="612" t="str">
        <f t="shared" si="14"/>
        <v/>
      </c>
    </row>
    <row r="76" spans="1:61" ht="109.9" customHeight="1" thickBot="1">
      <c r="A76" s="599">
        <v>65</v>
      </c>
      <c r="B76" s="913" t="str">
        <f>IF(基本情報入力シート!B104="","",基本情報入力シート!B104)</f>
        <v/>
      </c>
      <c r="C76" s="914"/>
      <c r="D76" s="914"/>
      <c r="E76" s="914"/>
      <c r="F76" s="915"/>
      <c r="G76" s="600" t="str">
        <f>IF(基本情報入力シート!L104="", "", 基本情報入力シート!L104)</f>
        <v/>
      </c>
      <c r="H76" s="600" t="str">
        <f>IF(基本情報入力シート!Q104="", "", 基本情報入力シート!Q104)</f>
        <v/>
      </c>
      <c r="I76" s="600" t="str">
        <f>IF(基本情報入力シート!V104="", "", 基本情報入力シート!V104)</f>
        <v/>
      </c>
      <c r="J76" s="600" t="str">
        <f>IF(基本情報入力シート!W104="", "", 基本情報入力シート!W104)</f>
        <v/>
      </c>
      <c r="K76" s="600"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01" t="s">
        <v>170</v>
      </c>
      <c r="Q76" s="225"/>
      <c r="R76" s="602" t="s">
        <v>253</v>
      </c>
      <c r="S76" s="225"/>
      <c r="T76" s="602" t="s">
        <v>254</v>
      </c>
      <c r="U76" s="225"/>
      <c r="V76" s="602" t="s">
        <v>253</v>
      </c>
      <c r="W76" s="225"/>
      <c r="X76" s="602" t="s">
        <v>255</v>
      </c>
      <c r="Y76" s="602" t="s">
        <v>256</v>
      </c>
      <c r="Z76" s="602" t="str">
        <f t="shared" si="15"/>
        <v/>
      </c>
      <c r="AA76" s="603" t="s">
        <v>257</v>
      </c>
      <c r="AB76" s="604" t="str">
        <f t="shared" si="16"/>
        <v/>
      </c>
      <c r="AC76" s="605" t="str">
        <f>IFERROR(ROUNDDOWN(ROUNDDOWN(ROUND(L76*VLOOKUP(K76,【参考】数式用!$A$2:$M$57,MATCH("処遇改善加算Ⅳ",【参考】数式用!$G$3:$M$3,0)+6,0),0)*M76,0)*Z76*0.5,0), "")</f>
        <v/>
      </c>
      <c r="AD76" s="245"/>
      <c r="AE76" s="246"/>
      <c r="AF76" s="246"/>
      <c r="AG76" s="247"/>
      <c r="AH76" s="248"/>
      <c r="AI76" s="249"/>
      <c r="AJ76" s="250"/>
      <c r="AK76" s="606" t="str">
        <f t="shared" si="17"/>
        <v/>
      </c>
      <c r="AL76" s="607" t="str">
        <f t="shared" si="0"/>
        <v/>
      </c>
      <c r="AM76" s="608"/>
      <c r="AN76" s="609" t="str">
        <f>IFERROR(VLOOKUP(K76,【参考】数式用!$A$2:$N$57,14,FALSE),"")</f>
        <v/>
      </c>
      <c r="AO76" s="609" t="str">
        <f t="shared" si="1"/>
        <v/>
      </c>
      <c r="AP76" s="610" t="str">
        <f t="shared" si="18"/>
        <v/>
      </c>
      <c r="AQ76" s="610" t="str">
        <f t="shared" si="19"/>
        <v>キャリアパス要件Ⅰ・Ⅱ_</v>
      </c>
      <c r="AR76" s="611" t="str">
        <f t="shared" si="20"/>
        <v>入力済</v>
      </c>
      <c r="AS76" s="609" t="str">
        <f t="shared" si="2"/>
        <v/>
      </c>
      <c r="AT76" s="611" t="str">
        <f t="shared" si="3"/>
        <v>入力済</v>
      </c>
      <c r="AU76" s="611" t="str">
        <f t="shared" si="4"/>
        <v/>
      </c>
      <c r="AV76" s="611" t="str">
        <f t="shared" si="5"/>
        <v/>
      </c>
      <c r="AW76" s="609" t="str">
        <f t="shared" si="6"/>
        <v/>
      </c>
      <c r="AX76" s="609" t="str">
        <f t="shared" si="7"/>
        <v>入力済</v>
      </c>
      <c r="AY76" s="611" t="str">
        <f>IFERROR(VLOOKUP(K76,【参考】数式用!$AR$3:$AS$49, 2, FALSE), "")</f>
        <v/>
      </c>
      <c r="AZ76" s="609" t="str">
        <f t="shared" si="8"/>
        <v/>
      </c>
      <c r="BA76" s="612" t="str">
        <f t="shared" si="21"/>
        <v>入力済</v>
      </c>
      <c r="BB76" s="611" t="str">
        <f>IFERROR(VLOOKUP(K76,【参考】数式用!$AX$3:$AY$59, 2, FALSE), "")</f>
        <v/>
      </c>
      <c r="BC76" s="609" t="str">
        <f t="shared" si="9"/>
        <v/>
      </c>
      <c r="BD76" s="612" t="str">
        <f t="shared" ref="BD76:BD111" si="39">IF(AND(COUNTIF(AE76:AH76,"*令和８年度特例要件を*")&gt;0,AJ76=""), "未入力","入力済")</f>
        <v>入力済</v>
      </c>
      <c r="BE76" s="612" t="str">
        <f t="shared" si="10"/>
        <v/>
      </c>
      <c r="BF76" s="612" t="str">
        <f t="shared" si="11"/>
        <v/>
      </c>
      <c r="BG76" s="612" t="str">
        <f t="shared" si="12"/>
        <v/>
      </c>
      <c r="BH76" s="612" t="str">
        <f t="shared" si="13"/>
        <v/>
      </c>
      <c r="BI76" s="612" t="str">
        <f t="shared" si="14"/>
        <v/>
      </c>
    </row>
    <row r="77" spans="1:61" ht="109.9" customHeight="1" thickBot="1">
      <c r="A77" s="599">
        <v>66</v>
      </c>
      <c r="B77" s="913" t="str">
        <f>IF(基本情報入力シート!B105="","",基本情報入力シート!B105)</f>
        <v/>
      </c>
      <c r="C77" s="914"/>
      <c r="D77" s="914"/>
      <c r="E77" s="914"/>
      <c r="F77" s="915"/>
      <c r="G77" s="600" t="str">
        <f>IF(基本情報入力シート!L105="", "", 基本情報入力シート!L105)</f>
        <v/>
      </c>
      <c r="H77" s="600" t="str">
        <f>IF(基本情報入力シート!Q105="", "", 基本情報入力シート!Q105)</f>
        <v/>
      </c>
      <c r="I77" s="600" t="str">
        <f>IF(基本情報入力シート!V105="", "", 基本情報入力シート!V105)</f>
        <v/>
      </c>
      <c r="J77" s="600" t="str">
        <f>IF(基本情報入力シート!W105="", "", 基本情報入力シート!W105)</f>
        <v/>
      </c>
      <c r="K77" s="600"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01" t="s">
        <v>170</v>
      </c>
      <c r="Q77" s="225"/>
      <c r="R77" s="602" t="s">
        <v>253</v>
      </c>
      <c r="S77" s="225"/>
      <c r="T77" s="602" t="s">
        <v>254</v>
      </c>
      <c r="U77" s="225"/>
      <c r="V77" s="602" t="s">
        <v>253</v>
      </c>
      <c r="W77" s="225"/>
      <c r="X77" s="602" t="s">
        <v>255</v>
      </c>
      <c r="Y77" s="602" t="s">
        <v>256</v>
      </c>
      <c r="Z77" s="602" t="str">
        <f t="shared" si="15"/>
        <v/>
      </c>
      <c r="AA77" s="603" t="s">
        <v>257</v>
      </c>
      <c r="AB77" s="604" t="str">
        <f t="shared" si="16"/>
        <v/>
      </c>
      <c r="AC77" s="605" t="str">
        <f>IFERROR(ROUNDDOWN(ROUNDDOWN(ROUND(L77*VLOOKUP(K77,【参考】数式用!$A$2:$M$57,MATCH("処遇改善加算Ⅳ",【参考】数式用!$G$3:$M$3,0)+6,0),0)*M77,0)*Z77*0.5,0), "")</f>
        <v/>
      </c>
      <c r="AD77" s="245"/>
      <c r="AE77" s="246"/>
      <c r="AF77" s="246"/>
      <c r="AG77" s="247"/>
      <c r="AH77" s="248"/>
      <c r="AI77" s="249"/>
      <c r="AJ77" s="250"/>
      <c r="AK77" s="606" t="str">
        <f t="shared" si="17"/>
        <v/>
      </c>
      <c r="AL77" s="60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08"/>
      <c r="AN77" s="609" t="str">
        <f>IFERROR(VLOOKUP(K77,【参考】数式用!$A$2:$N$57,14,FALSE),"")</f>
        <v/>
      </c>
      <c r="AO77" s="609" t="str">
        <f t="shared" si="1"/>
        <v/>
      </c>
      <c r="AP77" s="610" t="str">
        <f t="shared" si="18"/>
        <v/>
      </c>
      <c r="AQ77" s="610" t="str">
        <f t="shared" si="19"/>
        <v>キャリアパス要件Ⅰ・Ⅱ_</v>
      </c>
      <c r="AR77" s="611" t="str">
        <f t="shared" si="20"/>
        <v>入力済</v>
      </c>
      <c r="AS77" s="609" t="str">
        <f t="shared" si="2"/>
        <v/>
      </c>
      <c r="AT77" s="611" t="str">
        <f t="shared" si="3"/>
        <v>入力済</v>
      </c>
      <c r="AU77" s="611" t="str">
        <f t="shared" si="4"/>
        <v/>
      </c>
      <c r="AV77" s="611" t="str">
        <f t="shared" si="5"/>
        <v/>
      </c>
      <c r="AW77" s="609" t="str">
        <f t="shared" si="6"/>
        <v/>
      </c>
      <c r="AX77" s="609" t="str">
        <f t="shared" ref="AX77:AX111" si="41">IF(AND($AV77=1,$AW77="AH列に色付け",OR($AG77="",$AH77="")),"未入力",IF(AND($AV77=1,$AW77="",$AG77=""),"未入力","入力済"))</f>
        <v>入力済</v>
      </c>
      <c r="AY77" s="611" t="str">
        <f>IFERROR(VLOOKUP(K77,【参考】数式用!$AR$3:$AS$49, 2, FALSE), "")</f>
        <v/>
      </c>
      <c r="AZ77" s="609" t="str">
        <f t="shared" si="8"/>
        <v/>
      </c>
      <c r="BA77" s="612" t="str">
        <f t="shared" si="21"/>
        <v>入力済</v>
      </c>
      <c r="BB77" s="611" t="str">
        <f>IFERROR(VLOOKUP(K77,【参考】数式用!$AX$3:$AY$59, 2, FALSE), "")</f>
        <v/>
      </c>
      <c r="BC77" s="609" t="str">
        <f t="shared" ref="BC77:BC111" si="42">IF(OR(COUNTIF(AE77:AH77,"*令和８年度特例要件を*")&gt;0,ISNUMBER(SEARCH("処遇改善加算Ⅰロ",N77)),ISNUMBER(SEARCH("処遇改善加算Ⅱロ",N77)),AN77="加算対象外"),"AJ列に色付け","")</f>
        <v/>
      </c>
      <c r="BD77" s="612" t="str">
        <f t="shared" si="39"/>
        <v>入力済</v>
      </c>
      <c r="BE77" s="612" t="str">
        <f t="shared" ref="BE77:BE111" si="43">IF(AH77="その他（小規模事業所等である等）","AJ列色消し",IF(OR(ISNUMBER(SEARCH("処遇改善加算Ⅰロ",N77)),ISNUMBER(SEARCH("処遇改善加算Ⅱロ",N77))),"",IF(AND(BC77="AJ列に色付け",AE77="○",AF77="○",AG77&gt;=1),"AJ列色消し","")))</f>
        <v/>
      </c>
      <c r="BF77" s="612" t="str">
        <f t="shared" ref="BF77:BF111" si="44">IF(AND(N77="処遇改善加算",AE77="○"),"AJ列色消し","")</f>
        <v/>
      </c>
      <c r="BG77" s="612" t="str">
        <f t="shared" ref="BG77:BG111" si="45">IF(OR(TRIM(BC77)="",BE77="AJ列色消し",BF77="AJ列色消し"),"","入力必要")</f>
        <v/>
      </c>
      <c r="BH77" s="612" t="str">
        <f t="shared" ref="BH77:BH111" si="46">IF(AND(BE77="",BG77="入力必要"),IF(AJ77="","未入力","入力済"),"")</f>
        <v/>
      </c>
      <c r="BI77" s="612" t="str">
        <f t="shared" si="14"/>
        <v/>
      </c>
    </row>
    <row r="78" spans="1:61" ht="109.9" customHeight="1" thickBot="1">
      <c r="A78" s="599">
        <v>67</v>
      </c>
      <c r="B78" s="913" t="str">
        <f>IF(基本情報入力シート!B106="","",基本情報入力シート!B106)</f>
        <v/>
      </c>
      <c r="C78" s="914"/>
      <c r="D78" s="914"/>
      <c r="E78" s="914"/>
      <c r="F78" s="915"/>
      <c r="G78" s="600" t="str">
        <f>IF(基本情報入力シート!L106="", "", 基本情報入力シート!L106)</f>
        <v/>
      </c>
      <c r="H78" s="600" t="str">
        <f>IF(基本情報入力シート!Q106="", "", 基本情報入力シート!Q106)</f>
        <v/>
      </c>
      <c r="I78" s="600" t="str">
        <f>IF(基本情報入力シート!V106="", "", 基本情報入力シート!V106)</f>
        <v/>
      </c>
      <c r="J78" s="600" t="str">
        <f>IF(基本情報入力シート!W106="", "", 基本情報入力シート!W106)</f>
        <v/>
      </c>
      <c r="K78" s="600"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01" t="s">
        <v>170</v>
      </c>
      <c r="Q78" s="225"/>
      <c r="R78" s="602" t="s">
        <v>253</v>
      </c>
      <c r="S78" s="225"/>
      <c r="T78" s="602" t="s">
        <v>254</v>
      </c>
      <c r="U78" s="225"/>
      <c r="V78" s="602" t="s">
        <v>253</v>
      </c>
      <c r="W78" s="225"/>
      <c r="X78" s="602" t="s">
        <v>255</v>
      </c>
      <c r="Y78" s="602" t="s">
        <v>256</v>
      </c>
      <c r="Z78" s="602" t="str">
        <f t="shared" si="15"/>
        <v/>
      </c>
      <c r="AA78" s="603" t="s">
        <v>257</v>
      </c>
      <c r="AB78" s="604" t="str">
        <f t="shared" si="16"/>
        <v/>
      </c>
      <c r="AC78" s="605" t="str">
        <f>IFERROR(ROUNDDOWN(ROUNDDOWN(ROUND(L78*VLOOKUP(K78,【参考】数式用!$A$2:$M$57,MATCH("処遇改善加算Ⅳ",【参考】数式用!$G$3:$M$3,0)+6,0),0)*M78,0)*Z78*0.5,0), "")</f>
        <v/>
      </c>
      <c r="AD78" s="245"/>
      <c r="AE78" s="246"/>
      <c r="AF78" s="246"/>
      <c r="AG78" s="247"/>
      <c r="AH78" s="248"/>
      <c r="AI78" s="249"/>
      <c r="AJ78" s="250"/>
      <c r="AK78" s="60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07" t="str">
        <f t="shared" si="40"/>
        <v/>
      </c>
      <c r="AM78" s="608"/>
      <c r="AN78" s="609" t="str">
        <f>IFERROR(VLOOKUP(K78,【参考】数式用!$A$2:$N$57,14,FALSE),"")</f>
        <v/>
      </c>
      <c r="AO78" s="609" t="str">
        <f t="shared" ref="AO78:AO111" si="48">IF(AND(K78&lt;&gt;""),"N列に色付け","")</f>
        <v/>
      </c>
      <c r="AP78" s="610" t="str">
        <f t="shared" ref="AP78:AP111" si="49">IF(AND(AC78&lt;&gt;0,AC78&lt;&gt;"",AN78="加算対象"),IF(AD78="○","入力済","未入力"),"")</f>
        <v/>
      </c>
      <c r="AQ78" s="610" t="str">
        <f t="shared" ref="AQ78:AQ111" si="50">"キャリアパス要件Ⅰ・Ⅱ_"&amp;AN78</f>
        <v>キャリアパス要件Ⅰ・Ⅱ_</v>
      </c>
      <c r="AR78" s="611" t="str">
        <f t="shared" ref="AR78:AR111" si="51">IF(AND(N78&lt;&gt;"", AE78=""), "未入力", "入力済")</f>
        <v>入力済</v>
      </c>
      <c r="AS78" s="609" t="str">
        <f t="shared" ref="AS78:AS111" si="52">IF(AND(N78&lt;&gt;"", N78&lt;&gt;"処遇改善加算Ⅳ",AN78="加算対象"),"AF列に色付け","")</f>
        <v/>
      </c>
      <c r="AT78" s="611" t="str">
        <f t="shared" ref="AT78:AT111" si="53">IF(AND(N78&lt;&gt;"", N78&lt;&gt;"処遇改善加算Ⅳ",N78&lt;&gt;"処遇改善加算", AF78=""), "未入力", "入力済")</f>
        <v>入力済</v>
      </c>
      <c r="AU78" s="611" t="str">
        <f t="shared" ref="AU78:AU111" si="54">IF(OR(ISNUMBER(SEARCH("処遇改善加算Ⅰ",N78)),ISNUMBER(SEARCH("処遇改善加算Ⅱ",N78))),"対象","")</f>
        <v/>
      </c>
      <c r="AV78" s="611" t="str">
        <f t="shared" ref="AV78:AV111" si="55">IF(AND(AN78="加算対象",N78&lt;&gt;"処遇改善加算Ⅲ",N78&lt;&gt;"処遇改善加算Ⅳ", N78&lt;&gt;"", AU78&lt;&gt;"対象外"), 1,"")</f>
        <v/>
      </c>
      <c r="AW78" s="609" t="str">
        <f t="shared" ref="AW78:AW111" si="56">IF(AND(AV78=1, OR(AG78=0,AG78=""),AN78="加算対象"),"AH列に色付け","")</f>
        <v/>
      </c>
      <c r="AX78" s="609" t="str">
        <f t="shared" si="41"/>
        <v>入力済</v>
      </c>
      <c r="AY78" s="611" t="str">
        <f>IFERROR(VLOOKUP(K78,【参考】数式用!$AR$3:$AS$49, 2, FALSE), "")</f>
        <v/>
      </c>
      <c r="AZ78" s="609" t="str">
        <f t="shared" ref="AZ78:AZ111" si="57">IF(AND(AN78="加算対象",OR(N78="処遇改善加算Ⅰイ",N78="処遇改善加算Ⅰロ")),"AI列に色付け","")</f>
        <v/>
      </c>
      <c r="BA78" s="612" t="str">
        <f t="shared" ref="BA78:BA111" si="58">IF(AND(OR(N78="処遇改善加算Ⅰイ",N78="処遇改善加算Ⅰロ"), AI78=""), "未入力","入力済")</f>
        <v>入力済</v>
      </c>
      <c r="BB78" s="611" t="str">
        <f>IFERROR(VLOOKUP(K78,【参考】数式用!$AX$3:$AY$59, 2, FALSE), "")</f>
        <v/>
      </c>
      <c r="BC78" s="609" t="str">
        <f t="shared" si="42"/>
        <v/>
      </c>
      <c r="BD78" s="612" t="str">
        <f t="shared" si="39"/>
        <v>入力済</v>
      </c>
      <c r="BE78" s="612" t="str">
        <f t="shared" si="43"/>
        <v/>
      </c>
      <c r="BF78" s="612" t="str">
        <f t="shared" si="44"/>
        <v/>
      </c>
      <c r="BG78" s="612" t="str">
        <f t="shared" si="45"/>
        <v/>
      </c>
      <c r="BH78" s="612" t="str">
        <f t="shared" si="46"/>
        <v/>
      </c>
      <c r="BI78" s="612" t="str">
        <f t="shared" ref="BI78:BI111" si="59">G78</f>
        <v/>
      </c>
    </row>
    <row r="79" spans="1:61" ht="109.9" customHeight="1" thickBot="1">
      <c r="A79" s="599">
        <v>68</v>
      </c>
      <c r="B79" s="913" t="str">
        <f>IF(基本情報入力シート!B107="","",基本情報入力シート!B107)</f>
        <v/>
      </c>
      <c r="C79" s="914"/>
      <c r="D79" s="914"/>
      <c r="E79" s="914"/>
      <c r="F79" s="915"/>
      <c r="G79" s="600" t="str">
        <f>IF(基本情報入力シート!L107="", "", 基本情報入力シート!L107)</f>
        <v/>
      </c>
      <c r="H79" s="600" t="str">
        <f>IF(基本情報入力シート!Q107="", "", 基本情報入力シート!Q107)</f>
        <v/>
      </c>
      <c r="I79" s="600" t="str">
        <f>IF(基本情報入力シート!V107="", "", 基本情報入力シート!V107)</f>
        <v/>
      </c>
      <c r="J79" s="600" t="str">
        <f>IF(基本情報入力シート!W107="", "", 基本情報入力シート!W107)</f>
        <v/>
      </c>
      <c r="K79" s="600"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01" t="s">
        <v>170</v>
      </c>
      <c r="Q79" s="225"/>
      <c r="R79" s="602" t="s">
        <v>253</v>
      </c>
      <c r="S79" s="225"/>
      <c r="T79" s="602" t="s">
        <v>254</v>
      </c>
      <c r="U79" s="225"/>
      <c r="V79" s="602" t="s">
        <v>253</v>
      </c>
      <c r="W79" s="225"/>
      <c r="X79" s="602" t="s">
        <v>172</v>
      </c>
      <c r="Y79" s="602" t="s">
        <v>256</v>
      </c>
      <c r="Z79" s="602" t="str">
        <f t="shared" ref="Z79:Z111" si="60">IF(Q79&gt;=1,(U79*12+W79)-(Q79*12+S79)+1,"")</f>
        <v/>
      </c>
      <c r="AA79" s="603" t="s">
        <v>257</v>
      </c>
      <c r="AB79" s="604" t="str">
        <f t="shared" ref="AB79:AB111" si="61">IFERROR(ROUNDDOWN(ROUND(L79*O79,0)*M79,0)*Z79,"")</f>
        <v/>
      </c>
      <c r="AC79" s="605" t="str">
        <f>IFERROR(ROUNDDOWN(ROUNDDOWN(ROUND(L79*VLOOKUP(K79,【参考】数式用!$A$2:$M$57,MATCH("処遇改善加算Ⅳ",【参考】数式用!$G$3:$M$3,0)+6,0),0)*M79,0)*Z79*0.5,0), "")</f>
        <v/>
      </c>
      <c r="AD79" s="245"/>
      <c r="AE79" s="246"/>
      <c r="AF79" s="246"/>
      <c r="AG79" s="247"/>
      <c r="AH79" s="248"/>
      <c r="AI79" s="249"/>
      <c r="AJ79" s="250"/>
      <c r="AK79" s="606" t="str">
        <f t="shared" si="47"/>
        <v/>
      </c>
      <c r="AL79" s="607" t="str">
        <f t="shared" si="40"/>
        <v/>
      </c>
      <c r="AM79" s="608"/>
      <c r="AN79" s="609" t="str">
        <f>IFERROR(VLOOKUP(K79,【参考】数式用!$A$2:$N$57,14,FALSE),"")</f>
        <v/>
      </c>
      <c r="AO79" s="609" t="str">
        <f t="shared" si="48"/>
        <v/>
      </c>
      <c r="AP79" s="610" t="str">
        <f t="shared" si="49"/>
        <v/>
      </c>
      <c r="AQ79" s="610" t="str">
        <f t="shared" si="50"/>
        <v>キャリアパス要件Ⅰ・Ⅱ_</v>
      </c>
      <c r="AR79" s="611" t="str">
        <f t="shared" si="51"/>
        <v>入力済</v>
      </c>
      <c r="AS79" s="609" t="str">
        <f t="shared" si="52"/>
        <v/>
      </c>
      <c r="AT79" s="611" t="str">
        <f t="shared" si="53"/>
        <v>入力済</v>
      </c>
      <c r="AU79" s="611" t="str">
        <f t="shared" si="54"/>
        <v/>
      </c>
      <c r="AV79" s="611" t="str">
        <f t="shared" si="55"/>
        <v/>
      </c>
      <c r="AW79" s="609" t="str">
        <f t="shared" si="56"/>
        <v/>
      </c>
      <c r="AX79" s="609" t="str">
        <f t="shared" si="41"/>
        <v>入力済</v>
      </c>
      <c r="AY79" s="611" t="str">
        <f>IFERROR(VLOOKUP(K79,【参考】数式用!$AR$3:$AS$49, 2, FALSE), "")</f>
        <v/>
      </c>
      <c r="AZ79" s="609" t="str">
        <f t="shared" si="57"/>
        <v/>
      </c>
      <c r="BA79" s="612" t="str">
        <f t="shared" si="58"/>
        <v>入力済</v>
      </c>
      <c r="BB79" s="611" t="str">
        <f>IFERROR(VLOOKUP(K79,【参考】数式用!$AX$3:$AY$59, 2, FALSE), "")</f>
        <v/>
      </c>
      <c r="BC79" s="609" t="str">
        <f t="shared" si="42"/>
        <v/>
      </c>
      <c r="BD79" s="612" t="str">
        <f t="shared" si="39"/>
        <v>入力済</v>
      </c>
      <c r="BE79" s="612" t="str">
        <f t="shared" si="43"/>
        <v/>
      </c>
      <c r="BF79" s="612" t="str">
        <f t="shared" si="44"/>
        <v/>
      </c>
      <c r="BG79" s="612" t="str">
        <f t="shared" si="45"/>
        <v/>
      </c>
      <c r="BH79" s="612" t="str">
        <f t="shared" si="46"/>
        <v/>
      </c>
      <c r="BI79" s="612" t="str">
        <f t="shared" si="59"/>
        <v/>
      </c>
    </row>
    <row r="80" spans="1:61" ht="109.9" customHeight="1" thickBot="1">
      <c r="A80" s="599">
        <v>69</v>
      </c>
      <c r="B80" s="913" t="str">
        <f>IF(基本情報入力シート!B108="","",基本情報入力シート!B108)</f>
        <v/>
      </c>
      <c r="C80" s="914"/>
      <c r="D80" s="914"/>
      <c r="E80" s="914"/>
      <c r="F80" s="915"/>
      <c r="G80" s="600" t="str">
        <f>IF(基本情報入力シート!L108="", "", 基本情報入力シート!L108)</f>
        <v/>
      </c>
      <c r="H80" s="600" t="str">
        <f>IF(基本情報入力シート!Q108="", "", 基本情報入力シート!Q108)</f>
        <v/>
      </c>
      <c r="I80" s="600" t="str">
        <f>IF(基本情報入力シート!V108="", "", 基本情報入力シート!V108)</f>
        <v/>
      </c>
      <c r="J80" s="600" t="str">
        <f>IF(基本情報入力シート!W108="", "", 基本情報入力シート!W108)</f>
        <v/>
      </c>
      <c r="K80" s="600"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01" t="s">
        <v>170</v>
      </c>
      <c r="Q80" s="225"/>
      <c r="R80" s="602" t="s">
        <v>253</v>
      </c>
      <c r="S80" s="225"/>
      <c r="T80" s="602" t="s">
        <v>254</v>
      </c>
      <c r="U80" s="225"/>
      <c r="V80" s="602" t="s">
        <v>253</v>
      </c>
      <c r="W80" s="225"/>
      <c r="X80" s="602" t="s">
        <v>172</v>
      </c>
      <c r="Y80" s="602" t="s">
        <v>256</v>
      </c>
      <c r="Z80" s="602" t="str">
        <f t="shared" si="60"/>
        <v/>
      </c>
      <c r="AA80" s="603" t="s">
        <v>257</v>
      </c>
      <c r="AB80" s="604" t="str">
        <f t="shared" si="61"/>
        <v/>
      </c>
      <c r="AC80" s="605" t="str">
        <f>IFERROR(ROUNDDOWN(ROUNDDOWN(ROUND(L80*VLOOKUP(K80,【参考】数式用!$A$2:$M$57,MATCH("処遇改善加算Ⅳ",【参考】数式用!$G$3:$M$3,0)+6,0),0)*M80,0)*Z80*0.5,0), "")</f>
        <v/>
      </c>
      <c r="AD80" s="245"/>
      <c r="AE80" s="246"/>
      <c r="AF80" s="246"/>
      <c r="AG80" s="247"/>
      <c r="AH80" s="248"/>
      <c r="AI80" s="249"/>
      <c r="AJ80" s="250"/>
      <c r="AK80" s="606" t="str">
        <f t="shared" si="47"/>
        <v/>
      </c>
      <c r="AL80" s="607" t="str">
        <f t="shared" si="40"/>
        <v/>
      </c>
      <c r="AM80" s="608"/>
      <c r="AN80" s="609" t="str">
        <f>IFERROR(VLOOKUP(K80,【参考】数式用!$A$2:$N$57,14,FALSE),"")</f>
        <v/>
      </c>
      <c r="AO80" s="609" t="str">
        <f t="shared" si="48"/>
        <v/>
      </c>
      <c r="AP80" s="610" t="str">
        <f t="shared" si="49"/>
        <v/>
      </c>
      <c r="AQ80" s="610" t="str">
        <f t="shared" si="50"/>
        <v>キャリアパス要件Ⅰ・Ⅱ_</v>
      </c>
      <c r="AR80" s="611" t="str">
        <f t="shared" si="51"/>
        <v>入力済</v>
      </c>
      <c r="AS80" s="609" t="str">
        <f t="shared" si="52"/>
        <v/>
      </c>
      <c r="AT80" s="611" t="str">
        <f t="shared" si="53"/>
        <v>入力済</v>
      </c>
      <c r="AU80" s="611" t="str">
        <f t="shared" si="54"/>
        <v/>
      </c>
      <c r="AV80" s="611" t="str">
        <f t="shared" si="55"/>
        <v/>
      </c>
      <c r="AW80" s="609" t="str">
        <f t="shared" si="56"/>
        <v/>
      </c>
      <c r="AX80" s="609" t="str">
        <f t="shared" si="41"/>
        <v>入力済</v>
      </c>
      <c r="AY80" s="611" t="str">
        <f>IFERROR(VLOOKUP(K80,【参考】数式用!$AR$3:$AS$49, 2, FALSE), "")</f>
        <v/>
      </c>
      <c r="AZ80" s="609" t="str">
        <f t="shared" si="57"/>
        <v/>
      </c>
      <c r="BA80" s="612" t="str">
        <f t="shared" si="58"/>
        <v>入力済</v>
      </c>
      <c r="BB80" s="611" t="str">
        <f>IFERROR(VLOOKUP(K80,【参考】数式用!$AX$3:$AY$59, 2, FALSE), "")</f>
        <v/>
      </c>
      <c r="BC80" s="609" t="str">
        <f t="shared" si="42"/>
        <v/>
      </c>
      <c r="BD80" s="612" t="str">
        <f t="shared" si="39"/>
        <v>入力済</v>
      </c>
      <c r="BE80" s="612" t="str">
        <f t="shared" si="43"/>
        <v/>
      </c>
      <c r="BF80" s="612" t="str">
        <f t="shared" si="44"/>
        <v/>
      </c>
      <c r="BG80" s="612" t="str">
        <f t="shared" si="45"/>
        <v/>
      </c>
      <c r="BH80" s="612" t="str">
        <f t="shared" si="46"/>
        <v/>
      </c>
      <c r="BI80" s="612" t="str">
        <f t="shared" si="59"/>
        <v/>
      </c>
    </row>
    <row r="81" spans="1:61" ht="109.9" customHeight="1" thickBot="1">
      <c r="A81" s="599">
        <v>70</v>
      </c>
      <c r="B81" s="913" t="str">
        <f>IF(基本情報入力シート!B109="","",基本情報入力シート!B109)</f>
        <v/>
      </c>
      <c r="C81" s="914"/>
      <c r="D81" s="914"/>
      <c r="E81" s="914"/>
      <c r="F81" s="915"/>
      <c r="G81" s="600" t="str">
        <f>IF(基本情報入力シート!L109="", "", 基本情報入力シート!L109)</f>
        <v/>
      </c>
      <c r="H81" s="600" t="str">
        <f>IF(基本情報入力シート!Q109="", "", 基本情報入力シート!Q109)</f>
        <v/>
      </c>
      <c r="I81" s="600" t="str">
        <f>IF(基本情報入力シート!V109="", "", 基本情報入力シート!V109)</f>
        <v/>
      </c>
      <c r="J81" s="600" t="str">
        <f>IF(基本情報入力シート!W109="", "", 基本情報入力シート!W109)</f>
        <v/>
      </c>
      <c r="K81" s="600"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01" t="s">
        <v>170</v>
      </c>
      <c r="Q81" s="225"/>
      <c r="R81" s="602" t="s">
        <v>253</v>
      </c>
      <c r="S81" s="225"/>
      <c r="T81" s="602" t="s">
        <v>254</v>
      </c>
      <c r="U81" s="225"/>
      <c r="V81" s="602" t="s">
        <v>253</v>
      </c>
      <c r="W81" s="225"/>
      <c r="X81" s="602" t="s">
        <v>255</v>
      </c>
      <c r="Y81" s="602" t="s">
        <v>256</v>
      </c>
      <c r="Z81" s="602" t="str">
        <f t="shared" si="60"/>
        <v/>
      </c>
      <c r="AA81" s="603" t="s">
        <v>257</v>
      </c>
      <c r="AB81" s="604" t="str">
        <f t="shared" si="61"/>
        <v/>
      </c>
      <c r="AC81" s="605" t="str">
        <f>IFERROR(ROUNDDOWN(ROUNDDOWN(ROUND(L81*VLOOKUP(K81,【参考】数式用!$A$2:$M$57,MATCH("処遇改善加算Ⅳ",【参考】数式用!$G$3:$M$3,0)+6,0),0)*M81,0)*Z81*0.5,0), "")</f>
        <v/>
      </c>
      <c r="AD81" s="245"/>
      <c r="AE81" s="246"/>
      <c r="AF81" s="246"/>
      <c r="AG81" s="247"/>
      <c r="AH81" s="248"/>
      <c r="AI81" s="249"/>
      <c r="AJ81" s="250"/>
      <c r="AK81" s="606" t="str">
        <f t="shared" si="47"/>
        <v/>
      </c>
      <c r="AL81" s="607" t="str">
        <f t="shared" si="40"/>
        <v/>
      </c>
      <c r="AM81" s="608"/>
      <c r="AN81" s="609" t="str">
        <f>IFERROR(VLOOKUP(K81,【参考】数式用!$A$2:$N$57,14,FALSE),"")</f>
        <v/>
      </c>
      <c r="AO81" s="609" t="str">
        <f t="shared" si="48"/>
        <v/>
      </c>
      <c r="AP81" s="610" t="str">
        <f t="shared" si="49"/>
        <v/>
      </c>
      <c r="AQ81" s="610" t="str">
        <f t="shared" si="50"/>
        <v>キャリアパス要件Ⅰ・Ⅱ_</v>
      </c>
      <c r="AR81" s="611" t="str">
        <f t="shared" si="51"/>
        <v>入力済</v>
      </c>
      <c r="AS81" s="609" t="str">
        <f t="shared" si="52"/>
        <v/>
      </c>
      <c r="AT81" s="611" t="str">
        <f t="shared" si="53"/>
        <v>入力済</v>
      </c>
      <c r="AU81" s="611" t="str">
        <f t="shared" si="54"/>
        <v/>
      </c>
      <c r="AV81" s="611" t="str">
        <f t="shared" si="55"/>
        <v/>
      </c>
      <c r="AW81" s="609" t="str">
        <f t="shared" si="56"/>
        <v/>
      </c>
      <c r="AX81" s="609" t="str">
        <f t="shared" si="41"/>
        <v>入力済</v>
      </c>
      <c r="AY81" s="611" t="str">
        <f>IFERROR(VLOOKUP(K81,【参考】数式用!$AR$3:$AS$49, 2, FALSE), "")</f>
        <v/>
      </c>
      <c r="AZ81" s="609" t="str">
        <f t="shared" si="57"/>
        <v/>
      </c>
      <c r="BA81" s="612" t="str">
        <f t="shared" si="58"/>
        <v>入力済</v>
      </c>
      <c r="BB81" s="611" t="str">
        <f>IFERROR(VLOOKUP(K81,【参考】数式用!$AX$3:$AY$59, 2, FALSE), "")</f>
        <v/>
      </c>
      <c r="BC81" s="609" t="str">
        <f t="shared" si="42"/>
        <v/>
      </c>
      <c r="BD81" s="612" t="str">
        <f t="shared" si="39"/>
        <v>入力済</v>
      </c>
      <c r="BE81" s="612" t="str">
        <f t="shared" si="43"/>
        <v/>
      </c>
      <c r="BF81" s="612" t="str">
        <f t="shared" si="44"/>
        <v/>
      </c>
      <c r="BG81" s="612" t="str">
        <f t="shared" si="45"/>
        <v/>
      </c>
      <c r="BH81" s="612" t="str">
        <f t="shared" si="46"/>
        <v/>
      </c>
      <c r="BI81" s="612" t="str">
        <f t="shared" si="59"/>
        <v/>
      </c>
    </row>
    <row r="82" spans="1:61" ht="109.9" customHeight="1" thickBot="1">
      <c r="A82" s="599">
        <v>71</v>
      </c>
      <c r="B82" s="913" t="str">
        <f>IF(基本情報入力シート!B110="","",基本情報入力シート!B110)</f>
        <v/>
      </c>
      <c r="C82" s="914"/>
      <c r="D82" s="914"/>
      <c r="E82" s="914"/>
      <c r="F82" s="915"/>
      <c r="G82" s="600" t="str">
        <f>IF(基本情報入力シート!L110="", "", 基本情報入力シート!L110)</f>
        <v/>
      </c>
      <c r="H82" s="600" t="str">
        <f>IF(基本情報入力シート!Q110="", "", 基本情報入力シート!Q110)</f>
        <v/>
      </c>
      <c r="I82" s="600" t="str">
        <f>IF(基本情報入力シート!V110="", "", 基本情報入力シート!V110)</f>
        <v/>
      </c>
      <c r="J82" s="600" t="str">
        <f>IF(基本情報入力シート!W110="", "", 基本情報入力シート!W110)</f>
        <v/>
      </c>
      <c r="K82" s="600"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01" t="s">
        <v>170</v>
      </c>
      <c r="Q82" s="225"/>
      <c r="R82" s="602" t="s">
        <v>253</v>
      </c>
      <c r="S82" s="225"/>
      <c r="T82" s="602" t="s">
        <v>254</v>
      </c>
      <c r="U82" s="225"/>
      <c r="V82" s="602" t="s">
        <v>253</v>
      </c>
      <c r="W82" s="225"/>
      <c r="X82" s="602" t="s">
        <v>255</v>
      </c>
      <c r="Y82" s="602" t="s">
        <v>256</v>
      </c>
      <c r="Z82" s="602" t="str">
        <f t="shared" si="60"/>
        <v/>
      </c>
      <c r="AA82" s="603" t="s">
        <v>257</v>
      </c>
      <c r="AB82" s="604" t="str">
        <f t="shared" si="61"/>
        <v/>
      </c>
      <c r="AC82" s="605" t="str">
        <f>IFERROR(ROUNDDOWN(ROUNDDOWN(ROUND(L82*VLOOKUP(K82,【参考】数式用!$A$2:$M$57,MATCH("処遇改善加算Ⅳ",【参考】数式用!$G$3:$M$3,0)+6,0),0)*M82,0)*Z82*0.5,0), "")</f>
        <v/>
      </c>
      <c r="AD82" s="245"/>
      <c r="AE82" s="246"/>
      <c r="AF82" s="246"/>
      <c r="AG82" s="247"/>
      <c r="AH82" s="248"/>
      <c r="AI82" s="249"/>
      <c r="AJ82" s="250"/>
      <c r="AK82" s="606" t="str">
        <f t="shared" si="47"/>
        <v/>
      </c>
      <c r="AL82" s="607" t="str">
        <f t="shared" si="40"/>
        <v/>
      </c>
      <c r="AM82" s="608"/>
      <c r="AN82" s="609" t="str">
        <f>IFERROR(VLOOKUP(K82,【参考】数式用!$A$2:$N$57,14,FALSE),"")</f>
        <v/>
      </c>
      <c r="AO82" s="609" t="str">
        <f t="shared" si="48"/>
        <v/>
      </c>
      <c r="AP82" s="610" t="str">
        <f t="shared" si="49"/>
        <v/>
      </c>
      <c r="AQ82" s="610" t="str">
        <f t="shared" si="50"/>
        <v>キャリアパス要件Ⅰ・Ⅱ_</v>
      </c>
      <c r="AR82" s="611" t="str">
        <f t="shared" si="51"/>
        <v>入力済</v>
      </c>
      <c r="AS82" s="609" t="str">
        <f t="shared" si="52"/>
        <v/>
      </c>
      <c r="AT82" s="611" t="str">
        <f t="shared" si="53"/>
        <v>入力済</v>
      </c>
      <c r="AU82" s="611" t="str">
        <f t="shared" si="54"/>
        <v/>
      </c>
      <c r="AV82" s="611" t="str">
        <f t="shared" si="55"/>
        <v/>
      </c>
      <c r="AW82" s="609" t="str">
        <f t="shared" si="56"/>
        <v/>
      </c>
      <c r="AX82" s="609" t="str">
        <f t="shared" si="41"/>
        <v>入力済</v>
      </c>
      <c r="AY82" s="611" t="str">
        <f>IFERROR(VLOOKUP(K82,【参考】数式用!$AR$3:$AS$49, 2, FALSE), "")</f>
        <v/>
      </c>
      <c r="AZ82" s="609" t="str">
        <f t="shared" si="57"/>
        <v/>
      </c>
      <c r="BA82" s="612" t="str">
        <f t="shared" si="58"/>
        <v>入力済</v>
      </c>
      <c r="BB82" s="611" t="str">
        <f>IFERROR(VLOOKUP(K82,【参考】数式用!$AX$3:$AY$59, 2, FALSE), "")</f>
        <v/>
      </c>
      <c r="BC82" s="609" t="str">
        <f t="shared" si="42"/>
        <v/>
      </c>
      <c r="BD82" s="612" t="str">
        <f t="shared" si="39"/>
        <v>入力済</v>
      </c>
      <c r="BE82" s="612" t="str">
        <f t="shared" si="43"/>
        <v/>
      </c>
      <c r="BF82" s="612" t="str">
        <f t="shared" si="44"/>
        <v/>
      </c>
      <c r="BG82" s="612" t="str">
        <f t="shared" si="45"/>
        <v/>
      </c>
      <c r="BH82" s="612" t="str">
        <f t="shared" si="46"/>
        <v/>
      </c>
      <c r="BI82" s="612" t="str">
        <f t="shared" si="59"/>
        <v/>
      </c>
    </row>
    <row r="83" spans="1:61" ht="109.9" customHeight="1" thickBot="1">
      <c r="A83" s="599">
        <v>72</v>
      </c>
      <c r="B83" s="913" t="str">
        <f>IF(基本情報入力シート!B111="","",基本情報入力シート!B111)</f>
        <v/>
      </c>
      <c r="C83" s="914"/>
      <c r="D83" s="914"/>
      <c r="E83" s="914"/>
      <c r="F83" s="915"/>
      <c r="G83" s="600" t="str">
        <f>IF(基本情報入力シート!L111="", "", 基本情報入力シート!L111)</f>
        <v/>
      </c>
      <c r="H83" s="600" t="str">
        <f>IF(基本情報入力シート!Q111="", "", 基本情報入力シート!Q111)</f>
        <v/>
      </c>
      <c r="I83" s="600" t="str">
        <f>IF(基本情報入力シート!V111="", "", 基本情報入力シート!V111)</f>
        <v/>
      </c>
      <c r="J83" s="600" t="str">
        <f>IF(基本情報入力シート!W111="", "", 基本情報入力シート!W111)</f>
        <v/>
      </c>
      <c r="K83" s="600"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01" t="s">
        <v>170</v>
      </c>
      <c r="Q83" s="225"/>
      <c r="R83" s="602" t="s">
        <v>253</v>
      </c>
      <c r="S83" s="225"/>
      <c r="T83" s="602" t="s">
        <v>254</v>
      </c>
      <c r="U83" s="225"/>
      <c r="V83" s="602" t="s">
        <v>253</v>
      </c>
      <c r="W83" s="225"/>
      <c r="X83" s="602" t="s">
        <v>255</v>
      </c>
      <c r="Y83" s="602" t="s">
        <v>256</v>
      </c>
      <c r="Z83" s="602" t="str">
        <f t="shared" si="60"/>
        <v/>
      </c>
      <c r="AA83" s="603" t="s">
        <v>257</v>
      </c>
      <c r="AB83" s="604" t="str">
        <f t="shared" si="61"/>
        <v/>
      </c>
      <c r="AC83" s="605" t="str">
        <f>IFERROR(ROUNDDOWN(ROUNDDOWN(ROUND(L83*VLOOKUP(K83,【参考】数式用!$A$2:$M$57,MATCH("処遇改善加算Ⅳ",【参考】数式用!$G$3:$M$3,0)+6,0),0)*M83,0)*Z83*0.5,0), "")</f>
        <v/>
      </c>
      <c r="AD83" s="245"/>
      <c r="AE83" s="246"/>
      <c r="AF83" s="246"/>
      <c r="AG83" s="247"/>
      <c r="AH83" s="248"/>
      <c r="AI83" s="249"/>
      <c r="AJ83" s="250"/>
      <c r="AK83" s="606" t="str">
        <f t="shared" si="47"/>
        <v/>
      </c>
      <c r="AL83" s="607" t="str">
        <f t="shared" si="40"/>
        <v/>
      </c>
      <c r="AM83" s="608"/>
      <c r="AN83" s="609" t="str">
        <f>IFERROR(VLOOKUP(K83,【参考】数式用!$A$2:$N$57,14,FALSE),"")</f>
        <v/>
      </c>
      <c r="AO83" s="609" t="str">
        <f t="shared" si="48"/>
        <v/>
      </c>
      <c r="AP83" s="610" t="str">
        <f t="shared" si="49"/>
        <v/>
      </c>
      <c r="AQ83" s="610" t="str">
        <f t="shared" si="50"/>
        <v>キャリアパス要件Ⅰ・Ⅱ_</v>
      </c>
      <c r="AR83" s="611" t="str">
        <f t="shared" si="51"/>
        <v>入力済</v>
      </c>
      <c r="AS83" s="609" t="str">
        <f t="shared" si="52"/>
        <v/>
      </c>
      <c r="AT83" s="611" t="str">
        <f t="shared" si="53"/>
        <v>入力済</v>
      </c>
      <c r="AU83" s="611" t="str">
        <f t="shared" si="54"/>
        <v/>
      </c>
      <c r="AV83" s="611" t="str">
        <f t="shared" si="55"/>
        <v/>
      </c>
      <c r="AW83" s="609" t="str">
        <f t="shared" si="56"/>
        <v/>
      </c>
      <c r="AX83" s="609" t="str">
        <f t="shared" si="41"/>
        <v>入力済</v>
      </c>
      <c r="AY83" s="611" t="str">
        <f>IFERROR(VLOOKUP(K83,【参考】数式用!$AR$3:$AS$49, 2, FALSE), "")</f>
        <v/>
      </c>
      <c r="AZ83" s="609" t="str">
        <f t="shared" si="57"/>
        <v/>
      </c>
      <c r="BA83" s="612" t="str">
        <f t="shared" si="58"/>
        <v>入力済</v>
      </c>
      <c r="BB83" s="611" t="str">
        <f>IFERROR(VLOOKUP(K83,【参考】数式用!$AX$3:$AY$59, 2, FALSE), "")</f>
        <v/>
      </c>
      <c r="BC83" s="609" t="str">
        <f t="shared" si="42"/>
        <v/>
      </c>
      <c r="BD83" s="612" t="str">
        <f t="shared" si="39"/>
        <v>入力済</v>
      </c>
      <c r="BE83" s="612" t="str">
        <f t="shared" si="43"/>
        <v/>
      </c>
      <c r="BF83" s="612" t="str">
        <f t="shared" si="44"/>
        <v/>
      </c>
      <c r="BG83" s="612" t="str">
        <f t="shared" si="45"/>
        <v/>
      </c>
      <c r="BH83" s="612" t="str">
        <f t="shared" si="46"/>
        <v/>
      </c>
      <c r="BI83" s="612" t="str">
        <f t="shared" si="59"/>
        <v/>
      </c>
    </row>
    <row r="84" spans="1:61" ht="109.9" customHeight="1" thickBot="1">
      <c r="A84" s="599">
        <v>73</v>
      </c>
      <c r="B84" s="913" t="str">
        <f>IF(基本情報入力シート!B112="","",基本情報入力シート!B112)</f>
        <v/>
      </c>
      <c r="C84" s="914"/>
      <c r="D84" s="914"/>
      <c r="E84" s="914"/>
      <c r="F84" s="915"/>
      <c r="G84" s="600" t="str">
        <f>IF(基本情報入力シート!L112="", "", 基本情報入力シート!L112)</f>
        <v/>
      </c>
      <c r="H84" s="600" t="str">
        <f>IF(基本情報入力シート!Q112="", "", 基本情報入力シート!Q112)</f>
        <v/>
      </c>
      <c r="I84" s="600" t="str">
        <f>IF(基本情報入力シート!V112="", "", 基本情報入力シート!V112)</f>
        <v/>
      </c>
      <c r="J84" s="600" t="str">
        <f>IF(基本情報入力シート!W112="", "", 基本情報入力シート!W112)</f>
        <v/>
      </c>
      <c r="K84" s="600"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01" t="s">
        <v>170</v>
      </c>
      <c r="Q84" s="225"/>
      <c r="R84" s="602" t="s">
        <v>253</v>
      </c>
      <c r="S84" s="225"/>
      <c r="T84" s="602" t="s">
        <v>254</v>
      </c>
      <c r="U84" s="225"/>
      <c r="V84" s="602" t="s">
        <v>253</v>
      </c>
      <c r="W84" s="225"/>
      <c r="X84" s="602" t="s">
        <v>172</v>
      </c>
      <c r="Y84" s="602" t="s">
        <v>256</v>
      </c>
      <c r="Z84" s="602" t="str">
        <f t="shared" si="60"/>
        <v/>
      </c>
      <c r="AA84" s="603" t="s">
        <v>257</v>
      </c>
      <c r="AB84" s="604" t="str">
        <f t="shared" si="61"/>
        <v/>
      </c>
      <c r="AC84" s="605" t="str">
        <f>IFERROR(ROUNDDOWN(ROUNDDOWN(ROUND(L84*VLOOKUP(K84,【参考】数式用!$A$2:$M$57,MATCH("処遇改善加算Ⅳ",【参考】数式用!$G$3:$M$3,0)+6,0),0)*M84,0)*Z84*0.5,0), "")</f>
        <v/>
      </c>
      <c r="AD84" s="245"/>
      <c r="AE84" s="246"/>
      <c r="AF84" s="246"/>
      <c r="AG84" s="247"/>
      <c r="AH84" s="248"/>
      <c r="AI84" s="249"/>
      <c r="AJ84" s="250"/>
      <c r="AK84" s="606" t="str">
        <f t="shared" si="47"/>
        <v/>
      </c>
      <c r="AL84" s="607" t="str">
        <f t="shared" si="40"/>
        <v/>
      </c>
      <c r="AM84" s="608"/>
      <c r="AN84" s="609" t="str">
        <f>IFERROR(VLOOKUP(K84,【参考】数式用!$A$2:$N$57,14,FALSE),"")</f>
        <v/>
      </c>
      <c r="AO84" s="609" t="str">
        <f t="shared" si="48"/>
        <v/>
      </c>
      <c r="AP84" s="610" t="str">
        <f t="shared" si="49"/>
        <v/>
      </c>
      <c r="AQ84" s="610" t="str">
        <f t="shared" si="50"/>
        <v>キャリアパス要件Ⅰ・Ⅱ_</v>
      </c>
      <c r="AR84" s="611" t="str">
        <f t="shared" si="51"/>
        <v>入力済</v>
      </c>
      <c r="AS84" s="609" t="str">
        <f t="shared" si="52"/>
        <v/>
      </c>
      <c r="AT84" s="611" t="str">
        <f t="shared" si="53"/>
        <v>入力済</v>
      </c>
      <c r="AU84" s="611" t="str">
        <f t="shared" si="54"/>
        <v/>
      </c>
      <c r="AV84" s="611" t="str">
        <f t="shared" si="55"/>
        <v/>
      </c>
      <c r="AW84" s="609" t="str">
        <f t="shared" si="56"/>
        <v/>
      </c>
      <c r="AX84" s="609" t="str">
        <f t="shared" si="41"/>
        <v>入力済</v>
      </c>
      <c r="AY84" s="611" t="str">
        <f>IFERROR(VLOOKUP(K84,【参考】数式用!$AR$3:$AS$49, 2, FALSE), "")</f>
        <v/>
      </c>
      <c r="AZ84" s="609" t="str">
        <f t="shared" si="57"/>
        <v/>
      </c>
      <c r="BA84" s="612" t="str">
        <f t="shared" si="58"/>
        <v>入力済</v>
      </c>
      <c r="BB84" s="611" t="str">
        <f>IFERROR(VLOOKUP(K84,【参考】数式用!$AX$3:$AY$59, 2, FALSE), "")</f>
        <v/>
      </c>
      <c r="BC84" s="609" t="str">
        <f t="shared" si="42"/>
        <v/>
      </c>
      <c r="BD84" s="612" t="str">
        <f t="shared" si="39"/>
        <v>入力済</v>
      </c>
      <c r="BE84" s="612" t="str">
        <f t="shared" si="43"/>
        <v/>
      </c>
      <c r="BF84" s="612" t="str">
        <f t="shared" si="44"/>
        <v/>
      </c>
      <c r="BG84" s="612" t="str">
        <f t="shared" si="45"/>
        <v/>
      </c>
      <c r="BH84" s="612" t="str">
        <f t="shared" si="46"/>
        <v/>
      </c>
      <c r="BI84" s="612" t="str">
        <f t="shared" si="59"/>
        <v/>
      </c>
    </row>
    <row r="85" spans="1:61" ht="109.9" customHeight="1" thickBot="1">
      <c r="A85" s="599">
        <v>74</v>
      </c>
      <c r="B85" s="913" t="str">
        <f>IF(基本情報入力シート!B113="","",基本情報入力シート!B113)</f>
        <v/>
      </c>
      <c r="C85" s="914"/>
      <c r="D85" s="914"/>
      <c r="E85" s="914"/>
      <c r="F85" s="915"/>
      <c r="G85" s="600" t="str">
        <f>IF(基本情報入力シート!L113="", "", 基本情報入力シート!L113)</f>
        <v/>
      </c>
      <c r="H85" s="600" t="str">
        <f>IF(基本情報入力シート!Q113="", "", 基本情報入力シート!Q113)</f>
        <v/>
      </c>
      <c r="I85" s="600" t="str">
        <f>IF(基本情報入力シート!V113="", "", 基本情報入力シート!V113)</f>
        <v/>
      </c>
      <c r="J85" s="600" t="str">
        <f>IF(基本情報入力シート!W113="", "", 基本情報入力シート!W113)</f>
        <v/>
      </c>
      <c r="K85" s="600"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01" t="s">
        <v>170</v>
      </c>
      <c r="Q85" s="225"/>
      <c r="R85" s="602" t="s">
        <v>253</v>
      </c>
      <c r="S85" s="225"/>
      <c r="T85" s="602" t="s">
        <v>254</v>
      </c>
      <c r="U85" s="225"/>
      <c r="V85" s="602" t="s">
        <v>253</v>
      </c>
      <c r="W85" s="225"/>
      <c r="X85" s="602" t="s">
        <v>255</v>
      </c>
      <c r="Y85" s="602" t="s">
        <v>256</v>
      </c>
      <c r="Z85" s="602" t="str">
        <f t="shared" si="60"/>
        <v/>
      </c>
      <c r="AA85" s="603" t="s">
        <v>257</v>
      </c>
      <c r="AB85" s="604" t="str">
        <f t="shared" si="61"/>
        <v/>
      </c>
      <c r="AC85" s="605" t="str">
        <f>IFERROR(ROUNDDOWN(ROUNDDOWN(ROUND(L85*VLOOKUP(K85,【参考】数式用!$A$2:$M$57,MATCH("処遇改善加算Ⅳ",【参考】数式用!$G$3:$M$3,0)+6,0),0)*M85,0)*Z85*0.5,0), "")</f>
        <v/>
      </c>
      <c r="AD85" s="245"/>
      <c r="AE85" s="246"/>
      <c r="AF85" s="246"/>
      <c r="AG85" s="247"/>
      <c r="AH85" s="248"/>
      <c r="AI85" s="249"/>
      <c r="AJ85" s="250"/>
      <c r="AK85" s="606" t="str">
        <f t="shared" si="47"/>
        <v/>
      </c>
      <c r="AL85" s="607" t="str">
        <f t="shared" si="40"/>
        <v/>
      </c>
      <c r="AM85" s="608"/>
      <c r="AN85" s="609" t="str">
        <f>IFERROR(VLOOKUP(K85,【参考】数式用!$A$2:$N$57,14,FALSE),"")</f>
        <v/>
      </c>
      <c r="AO85" s="609" t="str">
        <f t="shared" si="48"/>
        <v/>
      </c>
      <c r="AP85" s="610" t="str">
        <f t="shared" si="49"/>
        <v/>
      </c>
      <c r="AQ85" s="610" t="str">
        <f t="shared" si="50"/>
        <v>キャリアパス要件Ⅰ・Ⅱ_</v>
      </c>
      <c r="AR85" s="611" t="str">
        <f t="shared" si="51"/>
        <v>入力済</v>
      </c>
      <c r="AS85" s="609" t="str">
        <f t="shared" si="52"/>
        <v/>
      </c>
      <c r="AT85" s="611" t="str">
        <f t="shared" si="53"/>
        <v>入力済</v>
      </c>
      <c r="AU85" s="611" t="str">
        <f t="shared" si="54"/>
        <v/>
      </c>
      <c r="AV85" s="611" t="str">
        <f t="shared" si="55"/>
        <v/>
      </c>
      <c r="AW85" s="609" t="str">
        <f t="shared" si="56"/>
        <v/>
      </c>
      <c r="AX85" s="609" t="str">
        <f t="shared" si="41"/>
        <v>入力済</v>
      </c>
      <c r="AY85" s="611" t="str">
        <f>IFERROR(VLOOKUP(K85,【参考】数式用!$AR$3:$AS$49, 2, FALSE), "")</f>
        <v/>
      </c>
      <c r="AZ85" s="609" t="str">
        <f t="shared" si="57"/>
        <v/>
      </c>
      <c r="BA85" s="612" t="str">
        <f t="shared" si="58"/>
        <v>入力済</v>
      </c>
      <c r="BB85" s="611" t="str">
        <f>IFERROR(VLOOKUP(K85,【参考】数式用!$AX$3:$AY$59, 2, FALSE), "")</f>
        <v/>
      </c>
      <c r="BC85" s="609" t="str">
        <f t="shared" si="42"/>
        <v/>
      </c>
      <c r="BD85" s="612" t="str">
        <f t="shared" si="39"/>
        <v>入力済</v>
      </c>
      <c r="BE85" s="612" t="str">
        <f t="shared" si="43"/>
        <v/>
      </c>
      <c r="BF85" s="612" t="str">
        <f t="shared" si="44"/>
        <v/>
      </c>
      <c r="BG85" s="612" t="str">
        <f t="shared" si="45"/>
        <v/>
      </c>
      <c r="BH85" s="612" t="str">
        <f t="shared" si="46"/>
        <v/>
      </c>
      <c r="BI85" s="612" t="str">
        <f t="shared" si="59"/>
        <v/>
      </c>
    </row>
    <row r="86" spans="1:61" ht="109.9" customHeight="1" thickBot="1">
      <c r="A86" s="599">
        <v>75</v>
      </c>
      <c r="B86" s="913" t="str">
        <f>IF(基本情報入力シート!B114="","",基本情報入力シート!B114)</f>
        <v/>
      </c>
      <c r="C86" s="914"/>
      <c r="D86" s="914"/>
      <c r="E86" s="914"/>
      <c r="F86" s="915"/>
      <c r="G86" s="600" t="str">
        <f>IF(基本情報入力シート!L114="", "", 基本情報入力シート!L114)</f>
        <v/>
      </c>
      <c r="H86" s="600" t="str">
        <f>IF(基本情報入力シート!Q114="", "", 基本情報入力シート!Q114)</f>
        <v/>
      </c>
      <c r="I86" s="600" t="str">
        <f>IF(基本情報入力シート!V114="", "", 基本情報入力シート!V114)</f>
        <v/>
      </c>
      <c r="J86" s="600" t="str">
        <f>IF(基本情報入力シート!W114="", "", 基本情報入力シート!W114)</f>
        <v/>
      </c>
      <c r="K86" s="600"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01" t="s">
        <v>170</v>
      </c>
      <c r="Q86" s="225"/>
      <c r="R86" s="602" t="s">
        <v>253</v>
      </c>
      <c r="S86" s="225"/>
      <c r="T86" s="602" t="s">
        <v>254</v>
      </c>
      <c r="U86" s="225"/>
      <c r="V86" s="602" t="s">
        <v>253</v>
      </c>
      <c r="W86" s="225"/>
      <c r="X86" s="602" t="s">
        <v>255</v>
      </c>
      <c r="Y86" s="602" t="s">
        <v>256</v>
      </c>
      <c r="Z86" s="602" t="str">
        <f t="shared" si="60"/>
        <v/>
      </c>
      <c r="AA86" s="603" t="s">
        <v>257</v>
      </c>
      <c r="AB86" s="604" t="str">
        <f t="shared" si="61"/>
        <v/>
      </c>
      <c r="AC86" s="605" t="str">
        <f>IFERROR(ROUNDDOWN(ROUNDDOWN(ROUND(L86*VLOOKUP(K86,【参考】数式用!$A$2:$M$57,MATCH("処遇改善加算Ⅳ",【参考】数式用!$G$3:$M$3,0)+6,0),0)*M86,0)*Z86*0.5,0), "")</f>
        <v/>
      </c>
      <c r="AD86" s="245"/>
      <c r="AE86" s="246"/>
      <c r="AF86" s="246"/>
      <c r="AG86" s="247"/>
      <c r="AH86" s="248"/>
      <c r="AI86" s="249"/>
      <c r="AJ86" s="250"/>
      <c r="AK86" s="606" t="str">
        <f t="shared" si="47"/>
        <v/>
      </c>
      <c r="AL86" s="607" t="str">
        <f t="shared" si="40"/>
        <v/>
      </c>
      <c r="AM86" s="608"/>
      <c r="AN86" s="609" t="str">
        <f>IFERROR(VLOOKUP(K86,【参考】数式用!$A$2:$N$57,14,FALSE),"")</f>
        <v/>
      </c>
      <c r="AO86" s="609" t="str">
        <f t="shared" si="48"/>
        <v/>
      </c>
      <c r="AP86" s="610" t="str">
        <f t="shared" si="49"/>
        <v/>
      </c>
      <c r="AQ86" s="610" t="str">
        <f t="shared" si="50"/>
        <v>キャリアパス要件Ⅰ・Ⅱ_</v>
      </c>
      <c r="AR86" s="611" t="str">
        <f t="shared" si="51"/>
        <v>入力済</v>
      </c>
      <c r="AS86" s="609" t="str">
        <f t="shared" si="52"/>
        <v/>
      </c>
      <c r="AT86" s="611" t="str">
        <f t="shared" si="53"/>
        <v>入力済</v>
      </c>
      <c r="AU86" s="611" t="str">
        <f t="shared" si="54"/>
        <v/>
      </c>
      <c r="AV86" s="611" t="str">
        <f t="shared" si="55"/>
        <v/>
      </c>
      <c r="AW86" s="609" t="str">
        <f t="shared" si="56"/>
        <v/>
      </c>
      <c r="AX86" s="609" t="str">
        <f t="shared" si="41"/>
        <v>入力済</v>
      </c>
      <c r="AY86" s="611" t="str">
        <f>IFERROR(VLOOKUP(K86,【参考】数式用!$AR$3:$AS$49, 2, FALSE), "")</f>
        <v/>
      </c>
      <c r="AZ86" s="609" t="str">
        <f t="shared" si="57"/>
        <v/>
      </c>
      <c r="BA86" s="612" t="str">
        <f t="shared" si="58"/>
        <v>入力済</v>
      </c>
      <c r="BB86" s="611" t="str">
        <f>IFERROR(VLOOKUP(K86,【参考】数式用!$AX$3:$AY$59, 2, FALSE), "")</f>
        <v/>
      </c>
      <c r="BC86" s="609" t="str">
        <f t="shared" si="42"/>
        <v/>
      </c>
      <c r="BD86" s="612" t="str">
        <f t="shared" si="39"/>
        <v>入力済</v>
      </c>
      <c r="BE86" s="612" t="str">
        <f t="shared" si="43"/>
        <v/>
      </c>
      <c r="BF86" s="612" t="str">
        <f t="shared" si="44"/>
        <v/>
      </c>
      <c r="BG86" s="612" t="str">
        <f t="shared" si="45"/>
        <v/>
      </c>
      <c r="BH86" s="612" t="str">
        <f t="shared" si="46"/>
        <v/>
      </c>
      <c r="BI86" s="612" t="str">
        <f t="shared" si="59"/>
        <v/>
      </c>
    </row>
    <row r="87" spans="1:61" ht="109.9" customHeight="1" thickBot="1">
      <c r="A87" s="599">
        <v>76</v>
      </c>
      <c r="B87" s="913" t="str">
        <f>IF(基本情報入力シート!B115="","",基本情報入力シート!B115)</f>
        <v/>
      </c>
      <c r="C87" s="914"/>
      <c r="D87" s="914"/>
      <c r="E87" s="914"/>
      <c r="F87" s="915"/>
      <c r="G87" s="600" t="str">
        <f>IF(基本情報入力シート!L115="", "", 基本情報入力シート!L115)</f>
        <v/>
      </c>
      <c r="H87" s="600" t="str">
        <f>IF(基本情報入力シート!Q115="", "", 基本情報入力シート!Q115)</f>
        <v/>
      </c>
      <c r="I87" s="600" t="str">
        <f>IF(基本情報入力シート!V115="", "", 基本情報入力シート!V115)</f>
        <v/>
      </c>
      <c r="J87" s="600" t="str">
        <f>IF(基本情報入力シート!W115="", "", 基本情報入力シート!W115)</f>
        <v/>
      </c>
      <c r="K87" s="600"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01" t="s">
        <v>170</v>
      </c>
      <c r="Q87" s="225"/>
      <c r="R87" s="602" t="s">
        <v>253</v>
      </c>
      <c r="S87" s="225"/>
      <c r="T87" s="602" t="s">
        <v>254</v>
      </c>
      <c r="U87" s="225"/>
      <c r="V87" s="602" t="s">
        <v>253</v>
      </c>
      <c r="W87" s="225"/>
      <c r="X87" s="602" t="s">
        <v>255</v>
      </c>
      <c r="Y87" s="602" t="s">
        <v>256</v>
      </c>
      <c r="Z87" s="602" t="str">
        <f t="shared" si="60"/>
        <v/>
      </c>
      <c r="AA87" s="603" t="s">
        <v>257</v>
      </c>
      <c r="AB87" s="604" t="str">
        <f t="shared" si="61"/>
        <v/>
      </c>
      <c r="AC87" s="605" t="str">
        <f>IFERROR(ROUNDDOWN(ROUNDDOWN(ROUND(L87*VLOOKUP(K87,【参考】数式用!$A$2:$M$57,MATCH("処遇改善加算Ⅳ",【参考】数式用!$G$3:$M$3,0)+6,0),0)*M87,0)*Z87*0.5,0), "")</f>
        <v/>
      </c>
      <c r="AD87" s="245"/>
      <c r="AE87" s="246"/>
      <c r="AF87" s="246"/>
      <c r="AG87" s="247"/>
      <c r="AH87" s="248"/>
      <c r="AI87" s="249"/>
      <c r="AJ87" s="250"/>
      <c r="AK87" s="606" t="str">
        <f t="shared" si="47"/>
        <v/>
      </c>
      <c r="AL87" s="607" t="str">
        <f t="shared" si="40"/>
        <v/>
      </c>
      <c r="AM87" s="608"/>
      <c r="AN87" s="609" t="str">
        <f>IFERROR(VLOOKUP(K87,【参考】数式用!$A$2:$N$57,14,FALSE),"")</f>
        <v/>
      </c>
      <c r="AO87" s="609" t="str">
        <f t="shared" si="48"/>
        <v/>
      </c>
      <c r="AP87" s="610" t="str">
        <f t="shared" si="49"/>
        <v/>
      </c>
      <c r="AQ87" s="610" t="str">
        <f t="shared" si="50"/>
        <v>キャリアパス要件Ⅰ・Ⅱ_</v>
      </c>
      <c r="AR87" s="611" t="str">
        <f t="shared" si="51"/>
        <v>入力済</v>
      </c>
      <c r="AS87" s="609" t="str">
        <f t="shared" si="52"/>
        <v/>
      </c>
      <c r="AT87" s="611" t="str">
        <f t="shared" si="53"/>
        <v>入力済</v>
      </c>
      <c r="AU87" s="611" t="str">
        <f t="shared" si="54"/>
        <v/>
      </c>
      <c r="AV87" s="611" t="str">
        <f t="shared" si="55"/>
        <v/>
      </c>
      <c r="AW87" s="609" t="str">
        <f t="shared" si="56"/>
        <v/>
      </c>
      <c r="AX87" s="609" t="str">
        <f t="shared" si="41"/>
        <v>入力済</v>
      </c>
      <c r="AY87" s="611" t="str">
        <f>IFERROR(VLOOKUP(K87,【参考】数式用!$AR$3:$AS$49, 2, FALSE), "")</f>
        <v/>
      </c>
      <c r="AZ87" s="609" t="str">
        <f t="shared" si="57"/>
        <v/>
      </c>
      <c r="BA87" s="612" t="str">
        <f t="shared" si="58"/>
        <v>入力済</v>
      </c>
      <c r="BB87" s="611" t="str">
        <f>IFERROR(VLOOKUP(K87,【参考】数式用!$AX$3:$AY$59, 2, FALSE), "")</f>
        <v/>
      </c>
      <c r="BC87" s="609" t="str">
        <f t="shared" si="42"/>
        <v/>
      </c>
      <c r="BD87" s="612" t="str">
        <f t="shared" si="39"/>
        <v>入力済</v>
      </c>
      <c r="BE87" s="612" t="str">
        <f t="shared" si="43"/>
        <v/>
      </c>
      <c r="BF87" s="612" t="str">
        <f t="shared" si="44"/>
        <v/>
      </c>
      <c r="BG87" s="612" t="str">
        <f t="shared" si="45"/>
        <v/>
      </c>
      <c r="BH87" s="612" t="str">
        <f t="shared" si="46"/>
        <v/>
      </c>
      <c r="BI87" s="612" t="str">
        <f t="shared" si="59"/>
        <v/>
      </c>
    </row>
    <row r="88" spans="1:61" ht="109.9" customHeight="1" thickBot="1">
      <c r="A88" s="599">
        <v>77</v>
      </c>
      <c r="B88" s="913" t="str">
        <f>IF(基本情報入力シート!B116="","",基本情報入力シート!B116)</f>
        <v/>
      </c>
      <c r="C88" s="914"/>
      <c r="D88" s="914"/>
      <c r="E88" s="914"/>
      <c r="F88" s="915"/>
      <c r="G88" s="600" t="str">
        <f>IF(基本情報入力シート!L116="", "", 基本情報入力シート!L116)</f>
        <v/>
      </c>
      <c r="H88" s="600" t="str">
        <f>IF(基本情報入力シート!Q116="", "", 基本情報入力シート!Q116)</f>
        <v/>
      </c>
      <c r="I88" s="600" t="str">
        <f>IF(基本情報入力シート!V116="", "", 基本情報入力シート!V116)</f>
        <v/>
      </c>
      <c r="J88" s="600" t="str">
        <f>IF(基本情報入力シート!W116="", "", 基本情報入力シート!W116)</f>
        <v/>
      </c>
      <c r="K88" s="600"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01" t="s">
        <v>170</v>
      </c>
      <c r="Q88" s="225"/>
      <c r="R88" s="602" t="s">
        <v>253</v>
      </c>
      <c r="S88" s="225"/>
      <c r="T88" s="602" t="s">
        <v>254</v>
      </c>
      <c r="U88" s="225"/>
      <c r="V88" s="602" t="s">
        <v>253</v>
      </c>
      <c r="W88" s="225"/>
      <c r="X88" s="602" t="s">
        <v>172</v>
      </c>
      <c r="Y88" s="602" t="s">
        <v>256</v>
      </c>
      <c r="Z88" s="602" t="str">
        <f t="shared" si="60"/>
        <v/>
      </c>
      <c r="AA88" s="603" t="s">
        <v>257</v>
      </c>
      <c r="AB88" s="604" t="str">
        <f t="shared" si="61"/>
        <v/>
      </c>
      <c r="AC88" s="605" t="str">
        <f>IFERROR(ROUNDDOWN(ROUNDDOWN(ROUND(L88*VLOOKUP(K88,【参考】数式用!$A$2:$M$57,MATCH("処遇改善加算Ⅳ",【参考】数式用!$G$3:$M$3,0)+6,0),0)*M88,0)*Z88*0.5,0), "")</f>
        <v/>
      </c>
      <c r="AD88" s="245"/>
      <c r="AE88" s="246"/>
      <c r="AF88" s="246"/>
      <c r="AG88" s="247"/>
      <c r="AH88" s="248"/>
      <c r="AI88" s="249"/>
      <c r="AJ88" s="250"/>
      <c r="AK88" s="606" t="str">
        <f t="shared" si="47"/>
        <v/>
      </c>
      <c r="AL88" s="607" t="str">
        <f t="shared" si="40"/>
        <v/>
      </c>
      <c r="AM88" s="608"/>
      <c r="AN88" s="609" t="str">
        <f>IFERROR(VLOOKUP(K88,【参考】数式用!$A$2:$N$57,14,FALSE),"")</f>
        <v/>
      </c>
      <c r="AO88" s="609" t="str">
        <f t="shared" si="48"/>
        <v/>
      </c>
      <c r="AP88" s="610" t="str">
        <f t="shared" si="49"/>
        <v/>
      </c>
      <c r="AQ88" s="610" t="str">
        <f t="shared" si="50"/>
        <v>キャリアパス要件Ⅰ・Ⅱ_</v>
      </c>
      <c r="AR88" s="611" t="str">
        <f t="shared" si="51"/>
        <v>入力済</v>
      </c>
      <c r="AS88" s="609" t="str">
        <f t="shared" si="52"/>
        <v/>
      </c>
      <c r="AT88" s="611" t="str">
        <f t="shared" si="53"/>
        <v>入力済</v>
      </c>
      <c r="AU88" s="611" t="str">
        <f t="shared" si="54"/>
        <v/>
      </c>
      <c r="AV88" s="611" t="str">
        <f t="shared" si="55"/>
        <v/>
      </c>
      <c r="AW88" s="609" t="str">
        <f t="shared" si="56"/>
        <v/>
      </c>
      <c r="AX88" s="609" t="str">
        <f t="shared" si="41"/>
        <v>入力済</v>
      </c>
      <c r="AY88" s="611" t="str">
        <f>IFERROR(VLOOKUP(K88,【参考】数式用!$AR$3:$AS$49, 2, FALSE), "")</f>
        <v/>
      </c>
      <c r="AZ88" s="609" t="str">
        <f t="shared" si="57"/>
        <v/>
      </c>
      <c r="BA88" s="612" t="str">
        <f t="shared" si="58"/>
        <v>入力済</v>
      </c>
      <c r="BB88" s="611" t="str">
        <f>IFERROR(VLOOKUP(K88,【参考】数式用!$AX$3:$AY$59, 2, FALSE), "")</f>
        <v/>
      </c>
      <c r="BC88" s="609" t="str">
        <f t="shared" si="42"/>
        <v/>
      </c>
      <c r="BD88" s="612" t="str">
        <f t="shared" si="39"/>
        <v>入力済</v>
      </c>
      <c r="BE88" s="612" t="str">
        <f t="shared" si="43"/>
        <v/>
      </c>
      <c r="BF88" s="612" t="str">
        <f t="shared" si="44"/>
        <v/>
      </c>
      <c r="BG88" s="612" t="str">
        <f t="shared" si="45"/>
        <v/>
      </c>
      <c r="BH88" s="612" t="str">
        <f t="shared" si="46"/>
        <v/>
      </c>
      <c r="BI88" s="612" t="str">
        <f t="shared" si="59"/>
        <v/>
      </c>
    </row>
    <row r="89" spans="1:61" ht="109.9" customHeight="1" thickBot="1">
      <c r="A89" s="599">
        <v>78</v>
      </c>
      <c r="B89" s="913" t="str">
        <f>IF(基本情報入力シート!B117="","",基本情報入力シート!B117)</f>
        <v/>
      </c>
      <c r="C89" s="914"/>
      <c r="D89" s="914"/>
      <c r="E89" s="914"/>
      <c r="F89" s="915"/>
      <c r="G89" s="600" t="str">
        <f>IF(基本情報入力シート!L117="", "", 基本情報入力シート!L117)</f>
        <v/>
      </c>
      <c r="H89" s="600" t="str">
        <f>IF(基本情報入力シート!Q117="", "", 基本情報入力シート!Q117)</f>
        <v/>
      </c>
      <c r="I89" s="600" t="str">
        <f>IF(基本情報入力シート!V117="", "", 基本情報入力シート!V117)</f>
        <v/>
      </c>
      <c r="J89" s="600" t="str">
        <f>IF(基本情報入力シート!W117="", "", 基本情報入力シート!W117)</f>
        <v/>
      </c>
      <c r="K89" s="600"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01" t="s">
        <v>170</v>
      </c>
      <c r="Q89" s="225"/>
      <c r="R89" s="602" t="s">
        <v>253</v>
      </c>
      <c r="S89" s="225"/>
      <c r="T89" s="602" t="s">
        <v>254</v>
      </c>
      <c r="U89" s="225"/>
      <c r="V89" s="602" t="s">
        <v>253</v>
      </c>
      <c r="W89" s="225"/>
      <c r="X89" s="602" t="s">
        <v>172</v>
      </c>
      <c r="Y89" s="602" t="s">
        <v>256</v>
      </c>
      <c r="Z89" s="602" t="str">
        <f t="shared" si="60"/>
        <v/>
      </c>
      <c r="AA89" s="603" t="s">
        <v>257</v>
      </c>
      <c r="AB89" s="604" t="str">
        <f t="shared" si="61"/>
        <v/>
      </c>
      <c r="AC89" s="605" t="str">
        <f>IFERROR(ROUNDDOWN(ROUNDDOWN(ROUND(L89*VLOOKUP(K89,【参考】数式用!$A$2:$M$57,MATCH("処遇改善加算Ⅳ",【参考】数式用!$G$3:$M$3,0)+6,0),0)*M89,0)*Z89*0.5,0), "")</f>
        <v/>
      </c>
      <c r="AD89" s="245"/>
      <c r="AE89" s="246"/>
      <c r="AF89" s="246"/>
      <c r="AG89" s="247"/>
      <c r="AH89" s="248"/>
      <c r="AI89" s="249"/>
      <c r="AJ89" s="250"/>
      <c r="AK89" s="606" t="str">
        <f t="shared" si="47"/>
        <v/>
      </c>
      <c r="AL89" s="607" t="str">
        <f t="shared" si="40"/>
        <v/>
      </c>
      <c r="AM89" s="608"/>
      <c r="AN89" s="609" t="str">
        <f>IFERROR(VLOOKUP(K89,【参考】数式用!$A$2:$N$57,14,FALSE),"")</f>
        <v/>
      </c>
      <c r="AO89" s="609" t="str">
        <f t="shared" si="48"/>
        <v/>
      </c>
      <c r="AP89" s="610" t="str">
        <f t="shared" si="49"/>
        <v/>
      </c>
      <c r="AQ89" s="610" t="str">
        <f t="shared" si="50"/>
        <v>キャリアパス要件Ⅰ・Ⅱ_</v>
      </c>
      <c r="AR89" s="611" t="str">
        <f t="shared" si="51"/>
        <v>入力済</v>
      </c>
      <c r="AS89" s="609" t="str">
        <f t="shared" si="52"/>
        <v/>
      </c>
      <c r="AT89" s="611" t="str">
        <f t="shared" si="53"/>
        <v>入力済</v>
      </c>
      <c r="AU89" s="611" t="str">
        <f t="shared" si="54"/>
        <v/>
      </c>
      <c r="AV89" s="611" t="str">
        <f t="shared" si="55"/>
        <v/>
      </c>
      <c r="AW89" s="609" t="str">
        <f t="shared" si="56"/>
        <v/>
      </c>
      <c r="AX89" s="609" t="str">
        <f t="shared" si="41"/>
        <v>入力済</v>
      </c>
      <c r="AY89" s="611" t="str">
        <f>IFERROR(VLOOKUP(K89,【参考】数式用!$AR$3:$AS$49, 2, FALSE), "")</f>
        <v/>
      </c>
      <c r="AZ89" s="609" t="str">
        <f t="shared" si="57"/>
        <v/>
      </c>
      <c r="BA89" s="612" t="str">
        <f t="shared" si="58"/>
        <v>入力済</v>
      </c>
      <c r="BB89" s="611" t="str">
        <f>IFERROR(VLOOKUP(K89,【参考】数式用!$AX$3:$AY$59, 2, FALSE), "")</f>
        <v/>
      </c>
      <c r="BC89" s="609" t="str">
        <f t="shared" si="42"/>
        <v/>
      </c>
      <c r="BD89" s="612" t="str">
        <f t="shared" si="39"/>
        <v>入力済</v>
      </c>
      <c r="BE89" s="612" t="str">
        <f t="shared" si="43"/>
        <v/>
      </c>
      <c r="BF89" s="612" t="str">
        <f t="shared" si="44"/>
        <v/>
      </c>
      <c r="BG89" s="612" t="str">
        <f t="shared" si="45"/>
        <v/>
      </c>
      <c r="BH89" s="612" t="str">
        <f t="shared" si="46"/>
        <v/>
      </c>
      <c r="BI89" s="612" t="str">
        <f t="shared" si="59"/>
        <v/>
      </c>
    </row>
    <row r="90" spans="1:61" ht="109.9" customHeight="1" thickBot="1">
      <c r="A90" s="599">
        <v>79</v>
      </c>
      <c r="B90" s="913" t="str">
        <f>IF(基本情報入力シート!B118="","",基本情報入力シート!B118)</f>
        <v/>
      </c>
      <c r="C90" s="914"/>
      <c r="D90" s="914"/>
      <c r="E90" s="914"/>
      <c r="F90" s="915"/>
      <c r="G90" s="600" t="str">
        <f>IF(基本情報入力シート!L118="", "", 基本情報入力シート!L118)</f>
        <v/>
      </c>
      <c r="H90" s="600" t="str">
        <f>IF(基本情報入力シート!Q118="", "", 基本情報入力シート!Q118)</f>
        <v/>
      </c>
      <c r="I90" s="600" t="str">
        <f>IF(基本情報入力シート!V118="", "", 基本情報入力シート!V118)</f>
        <v/>
      </c>
      <c r="J90" s="600" t="str">
        <f>IF(基本情報入力シート!W118="", "", 基本情報入力シート!W118)</f>
        <v/>
      </c>
      <c r="K90" s="600"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01" t="s">
        <v>170</v>
      </c>
      <c r="Q90" s="225"/>
      <c r="R90" s="602" t="s">
        <v>253</v>
      </c>
      <c r="S90" s="225"/>
      <c r="T90" s="602" t="s">
        <v>254</v>
      </c>
      <c r="U90" s="225"/>
      <c r="V90" s="602" t="s">
        <v>253</v>
      </c>
      <c r="W90" s="225"/>
      <c r="X90" s="602" t="s">
        <v>255</v>
      </c>
      <c r="Y90" s="602" t="s">
        <v>256</v>
      </c>
      <c r="Z90" s="602" t="str">
        <f t="shared" si="60"/>
        <v/>
      </c>
      <c r="AA90" s="603" t="s">
        <v>257</v>
      </c>
      <c r="AB90" s="604" t="str">
        <f t="shared" si="61"/>
        <v/>
      </c>
      <c r="AC90" s="605" t="str">
        <f>IFERROR(ROUNDDOWN(ROUNDDOWN(ROUND(L90*VLOOKUP(K90,【参考】数式用!$A$2:$M$57,MATCH("処遇改善加算Ⅳ",【参考】数式用!$G$3:$M$3,0)+6,0),0)*M90,0)*Z90*0.5,0), "")</f>
        <v/>
      </c>
      <c r="AD90" s="245"/>
      <c r="AE90" s="246"/>
      <c r="AF90" s="246"/>
      <c r="AG90" s="247"/>
      <c r="AH90" s="248"/>
      <c r="AI90" s="249"/>
      <c r="AJ90" s="250"/>
      <c r="AK90" s="606" t="str">
        <f t="shared" si="47"/>
        <v/>
      </c>
      <c r="AL90" s="607" t="str">
        <f t="shared" si="40"/>
        <v/>
      </c>
      <c r="AM90" s="608"/>
      <c r="AN90" s="609" t="str">
        <f>IFERROR(VLOOKUP(K90,【参考】数式用!$A$2:$N$57,14,FALSE),"")</f>
        <v/>
      </c>
      <c r="AO90" s="609" t="str">
        <f t="shared" si="48"/>
        <v/>
      </c>
      <c r="AP90" s="610" t="str">
        <f t="shared" si="49"/>
        <v/>
      </c>
      <c r="AQ90" s="610" t="str">
        <f t="shared" si="50"/>
        <v>キャリアパス要件Ⅰ・Ⅱ_</v>
      </c>
      <c r="AR90" s="611" t="str">
        <f t="shared" si="51"/>
        <v>入力済</v>
      </c>
      <c r="AS90" s="609" t="str">
        <f t="shared" si="52"/>
        <v/>
      </c>
      <c r="AT90" s="611" t="str">
        <f t="shared" si="53"/>
        <v>入力済</v>
      </c>
      <c r="AU90" s="611" t="str">
        <f t="shared" si="54"/>
        <v/>
      </c>
      <c r="AV90" s="611" t="str">
        <f t="shared" si="55"/>
        <v/>
      </c>
      <c r="AW90" s="609" t="str">
        <f t="shared" si="56"/>
        <v/>
      </c>
      <c r="AX90" s="609" t="str">
        <f t="shared" si="41"/>
        <v>入力済</v>
      </c>
      <c r="AY90" s="611" t="str">
        <f>IFERROR(VLOOKUP(K90,【参考】数式用!$AR$3:$AS$49, 2, FALSE), "")</f>
        <v/>
      </c>
      <c r="AZ90" s="609" t="str">
        <f t="shared" si="57"/>
        <v/>
      </c>
      <c r="BA90" s="612" t="str">
        <f t="shared" si="58"/>
        <v>入力済</v>
      </c>
      <c r="BB90" s="611" t="str">
        <f>IFERROR(VLOOKUP(K90,【参考】数式用!$AX$3:$AY$59, 2, FALSE), "")</f>
        <v/>
      </c>
      <c r="BC90" s="609" t="str">
        <f t="shared" si="42"/>
        <v/>
      </c>
      <c r="BD90" s="612" t="str">
        <f t="shared" si="39"/>
        <v>入力済</v>
      </c>
      <c r="BE90" s="612" t="str">
        <f t="shared" si="43"/>
        <v/>
      </c>
      <c r="BF90" s="612" t="str">
        <f t="shared" si="44"/>
        <v/>
      </c>
      <c r="BG90" s="612" t="str">
        <f t="shared" si="45"/>
        <v/>
      </c>
      <c r="BH90" s="612" t="str">
        <f t="shared" si="46"/>
        <v/>
      </c>
      <c r="BI90" s="612" t="str">
        <f t="shared" si="59"/>
        <v/>
      </c>
    </row>
    <row r="91" spans="1:61" ht="109.9" customHeight="1" thickBot="1">
      <c r="A91" s="599">
        <v>80</v>
      </c>
      <c r="B91" s="913" t="str">
        <f>IF(基本情報入力シート!B119="","",基本情報入力シート!B119)</f>
        <v/>
      </c>
      <c r="C91" s="914"/>
      <c r="D91" s="914"/>
      <c r="E91" s="914"/>
      <c r="F91" s="915"/>
      <c r="G91" s="600" t="str">
        <f>IF(基本情報入力シート!L119="", "", 基本情報入力シート!L119)</f>
        <v/>
      </c>
      <c r="H91" s="600" t="str">
        <f>IF(基本情報入力シート!Q119="", "", 基本情報入力シート!Q119)</f>
        <v/>
      </c>
      <c r="I91" s="600" t="str">
        <f>IF(基本情報入力シート!V119="", "", 基本情報入力シート!V119)</f>
        <v/>
      </c>
      <c r="J91" s="600" t="str">
        <f>IF(基本情報入力シート!W119="", "", 基本情報入力シート!W119)</f>
        <v/>
      </c>
      <c r="K91" s="600"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01" t="s">
        <v>170</v>
      </c>
      <c r="Q91" s="225"/>
      <c r="R91" s="602" t="s">
        <v>253</v>
      </c>
      <c r="S91" s="225"/>
      <c r="T91" s="602" t="s">
        <v>254</v>
      </c>
      <c r="U91" s="225"/>
      <c r="V91" s="602" t="s">
        <v>253</v>
      </c>
      <c r="W91" s="225"/>
      <c r="X91" s="602" t="s">
        <v>255</v>
      </c>
      <c r="Y91" s="602" t="s">
        <v>256</v>
      </c>
      <c r="Z91" s="602" t="str">
        <f t="shared" si="60"/>
        <v/>
      </c>
      <c r="AA91" s="603" t="s">
        <v>257</v>
      </c>
      <c r="AB91" s="604" t="str">
        <f t="shared" si="61"/>
        <v/>
      </c>
      <c r="AC91" s="605" t="str">
        <f>IFERROR(ROUNDDOWN(ROUNDDOWN(ROUND(L91*VLOOKUP(K91,【参考】数式用!$A$2:$M$57,MATCH("処遇改善加算Ⅳ",【参考】数式用!$G$3:$M$3,0)+6,0),0)*M91,0)*Z91*0.5,0), "")</f>
        <v/>
      </c>
      <c r="AD91" s="245"/>
      <c r="AE91" s="246"/>
      <c r="AF91" s="246"/>
      <c r="AG91" s="247"/>
      <c r="AH91" s="248"/>
      <c r="AI91" s="249"/>
      <c r="AJ91" s="250"/>
      <c r="AK91" s="606" t="str">
        <f t="shared" si="47"/>
        <v/>
      </c>
      <c r="AL91" s="607" t="str">
        <f t="shared" si="40"/>
        <v/>
      </c>
      <c r="AM91" s="608"/>
      <c r="AN91" s="609" t="str">
        <f>IFERROR(VLOOKUP(K91,【参考】数式用!$A$2:$N$57,14,FALSE),"")</f>
        <v/>
      </c>
      <c r="AO91" s="609" t="str">
        <f t="shared" si="48"/>
        <v/>
      </c>
      <c r="AP91" s="610" t="str">
        <f t="shared" si="49"/>
        <v/>
      </c>
      <c r="AQ91" s="610" t="str">
        <f t="shared" si="50"/>
        <v>キャリアパス要件Ⅰ・Ⅱ_</v>
      </c>
      <c r="AR91" s="611" t="str">
        <f t="shared" si="51"/>
        <v>入力済</v>
      </c>
      <c r="AS91" s="609" t="str">
        <f t="shared" si="52"/>
        <v/>
      </c>
      <c r="AT91" s="611" t="str">
        <f t="shared" si="53"/>
        <v>入力済</v>
      </c>
      <c r="AU91" s="611" t="str">
        <f t="shared" si="54"/>
        <v/>
      </c>
      <c r="AV91" s="611" t="str">
        <f t="shared" si="55"/>
        <v/>
      </c>
      <c r="AW91" s="609" t="str">
        <f t="shared" si="56"/>
        <v/>
      </c>
      <c r="AX91" s="609" t="str">
        <f t="shared" si="41"/>
        <v>入力済</v>
      </c>
      <c r="AY91" s="611" t="str">
        <f>IFERROR(VLOOKUP(K91,【参考】数式用!$AR$3:$AS$49, 2, FALSE), "")</f>
        <v/>
      </c>
      <c r="AZ91" s="609" t="str">
        <f t="shared" si="57"/>
        <v/>
      </c>
      <c r="BA91" s="612" t="str">
        <f t="shared" si="58"/>
        <v>入力済</v>
      </c>
      <c r="BB91" s="611" t="str">
        <f>IFERROR(VLOOKUP(K91,【参考】数式用!$AX$3:$AY$59, 2, FALSE), "")</f>
        <v/>
      </c>
      <c r="BC91" s="609" t="str">
        <f t="shared" si="42"/>
        <v/>
      </c>
      <c r="BD91" s="612" t="str">
        <f t="shared" si="39"/>
        <v>入力済</v>
      </c>
      <c r="BE91" s="612" t="str">
        <f t="shared" si="43"/>
        <v/>
      </c>
      <c r="BF91" s="612" t="str">
        <f t="shared" si="44"/>
        <v/>
      </c>
      <c r="BG91" s="612" t="str">
        <f t="shared" si="45"/>
        <v/>
      </c>
      <c r="BH91" s="612" t="str">
        <f t="shared" si="46"/>
        <v/>
      </c>
      <c r="BI91" s="612" t="str">
        <f t="shared" si="59"/>
        <v/>
      </c>
    </row>
    <row r="92" spans="1:61" ht="109.9" customHeight="1" thickBot="1">
      <c r="A92" s="599">
        <v>81</v>
      </c>
      <c r="B92" s="913" t="str">
        <f>IF(基本情報入力シート!B120="","",基本情報入力シート!B120)</f>
        <v/>
      </c>
      <c r="C92" s="914"/>
      <c r="D92" s="914"/>
      <c r="E92" s="914"/>
      <c r="F92" s="915"/>
      <c r="G92" s="600" t="str">
        <f>IF(基本情報入力シート!L120="", "", 基本情報入力シート!L120)</f>
        <v/>
      </c>
      <c r="H92" s="600" t="str">
        <f>IF(基本情報入力シート!Q120="", "", 基本情報入力シート!Q120)</f>
        <v/>
      </c>
      <c r="I92" s="600" t="str">
        <f>IF(基本情報入力シート!V120="", "", 基本情報入力シート!V120)</f>
        <v/>
      </c>
      <c r="J92" s="600" t="str">
        <f>IF(基本情報入力シート!W120="", "", 基本情報入力シート!W120)</f>
        <v/>
      </c>
      <c r="K92" s="600"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01" t="s">
        <v>170</v>
      </c>
      <c r="Q92" s="225"/>
      <c r="R92" s="602" t="s">
        <v>253</v>
      </c>
      <c r="S92" s="225"/>
      <c r="T92" s="602" t="s">
        <v>254</v>
      </c>
      <c r="U92" s="225"/>
      <c r="V92" s="602" t="s">
        <v>253</v>
      </c>
      <c r="W92" s="225"/>
      <c r="X92" s="602" t="s">
        <v>255</v>
      </c>
      <c r="Y92" s="602" t="s">
        <v>256</v>
      </c>
      <c r="Z92" s="602" t="str">
        <f t="shared" si="60"/>
        <v/>
      </c>
      <c r="AA92" s="603" t="s">
        <v>257</v>
      </c>
      <c r="AB92" s="604" t="str">
        <f t="shared" si="61"/>
        <v/>
      </c>
      <c r="AC92" s="605" t="str">
        <f>IFERROR(ROUNDDOWN(ROUNDDOWN(ROUND(L92*VLOOKUP(K92,【参考】数式用!$A$2:$M$57,MATCH("処遇改善加算Ⅳ",【参考】数式用!$G$3:$M$3,0)+6,0),0)*M92,0)*Z92*0.5,0), "")</f>
        <v/>
      </c>
      <c r="AD92" s="245"/>
      <c r="AE92" s="246"/>
      <c r="AF92" s="246"/>
      <c r="AG92" s="247"/>
      <c r="AH92" s="248"/>
      <c r="AI92" s="249"/>
      <c r="AJ92" s="250"/>
      <c r="AK92" s="606" t="str">
        <f t="shared" si="47"/>
        <v/>
      </c>
      <c r="AL92" s="607" t="str">
        <f t="shared" si="40"/>
        <v/>
      </c>
      <c r="AM92" s="608"/>
      <c r="AN92" s="609" t="str">
        <f>IFERROR(VLOOKUP(K92,【参考】数式用!$A$2:$N$57,14,FALSE),"")</f>
        <v/>
      </c>
      <c r="AO92" s="609" t="str">
        <f t="shared" si="48"/>
        <v/>
      </c>
      <c r="AP92" s="610" t="str">
        <f t="shared" si="49"/>
        <v/>
      </c>
      <c r="AQ92" s="610" t="str">
        <f t="shared" si="50"/>
        <v>キャリアパス要件Ⅰ・Ⅱ_</v>
      </c>
      <c r="AR92" s="611" t="str">
        <f t="shared" si="51"/>
        <v>入力済</v>
      </c>
      <c r="AS92" s="609" t="str">
        <f t="shared" si="52"/>
        <v/>
      </c>
      <c r="AT92" s="611" t="str">
        <f t="shared" si="53"/>
        <v>入力済</v>
      </c>
      <c r="AU92" s="611" t="str">
        <f t="shared" si="54"/>
        <v/>
      </c>
      <c r="AV92" s="611" t="str">
        <f t="shared" si="55"/>
        <v/>
      </c>
      <c r="AW92" s="609" t="str">
        <f t="shared" si="56"/>
        <v/>
      </c>
      <c r="AX92" s="609" t="str">
        <f t="shared" si="41"/>
        <v>入力済</v>
      </c>
      <c r="AY92" s="611" t="str">
        <f>IFERROR(VLOOKUP(K92,【参考】数式用!$AR$3:$AS$49, 2, FALSE), "")</f>
        <v/>
      </c>
      <c r="AZ92" s="609" t="str">
        <f t="shared" si="57"/>
        <v/>
      </c>
      <c r="BA92" s="612" t="str">
        <f t="shared" si="58"/>
        <v>入力済</v>
      </c>
      <c r="BB92" s="611" t="str">
        <f>IFERROR(VLOOKUP(K92,【参考】数式用!$AX$3:$AY$59, 2, FALSE), "")</f>
        <v/>
      </c>
      <c r="BC92" s="609" t="str">
        <f t="shared" si="42"/>
        <v/>
      </c>
      <c r="BD92" s="612" t="str">
        <f t="shared" si="39"/>
        <v>入力済</v>
      </c>
      <c r="BE92" s="612" t="str">
        <f t="shared" si="43"/>
        <v/>
      </c>
      <c r="BF92" s="612" t="str">
        <f t="shared" si="44"/>
        <v/>
      </c>
      <c r="BG92" s="612" t="str">
        <f t="shared" si="45"/>
        <v/>
      </c>
      <c r="BH92" s="612" t="str">
        <f t="shared" si="46"/>
        <v/>
      </c>
      <c r="BI92" s="612" t="str">
        <f t="shared" si="59"/>
        <v/>
      </c>
    </row>
    <row r="93" spans="1:61" ht="109.9" customHeight="1" thickBot="1">
      <c r="A93" s="599">
        <v>82</v>
      </c>
      <c r="B93" s="913" t="str">
        <f>IF(基本情報入力シート!B121="","",基本情報入力シート!B121)</f>
        <v/>
      </c>
      <c r="C93" s="914"/>
      <c r="D93" s="914"/>
      <c r="E93" s="914"/>
      <c r="F93" s="915"/>
      <c r="G93" s="600" t="str">
        <f>IF(基本情報入力シート!L121="", "", 基本情報入力シート!L121)</f>
        <v/>
      </c>
      <c r="H93" s="600" t="str">
        <f>IF(基本情報入力シート!Q121="", "", 基本情報入力シート!Q121)</f>
        <v/>
      </c>
      <c r="I93" s="600" t="str">
        <f>IF(基本情報入力シート!V121="", "", 基本情報入力シート!V121)</f>
        <v/>
      </c>
      <c r="J93" s="600" t="str">
        <f>IF(基本情報入力シート!W121="", "", 基本情報入力シート!W121)</f>
        <v/>
      </c>
      <c r="K93" s="600"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01" t="s">
        <v>170</v>
      </c>
      <c r="Q93" s="225"/>
      <c r="R93" s="602" t="s">
        <v>253</v>
      </c>
      <c r="S93" s="225"/>
      <c r="T93" s="602" t="s">
        <v>254</v>
      </c>
      <c r="U93" s="225"/>
      <c r="V93" s="602" t="s">
        <v>253</v>
      </c>
      <c r="W93" s="225"/>
      <c r="X93" s="602" t="s">
        <v>172</v>
      </c>
      <c r="Y93" s="602" t="s">
        <v>256</v>
      </c>
      <c r="Z93" s="602" t="str">
        <f t="shared" si="60"/>
        <v/>
      </c>
      <c r="AA93" s="603" t="s">
        <v>257</v>
      </c>
      <c r="AB93" s="604" t="str">
        <f t="shared" si="61"/>
        <v/>
      </c>
      <c r="AC93" s="605" t="str">
        <f>IFERROR(ROUNDDOWN(ROUNDDOWN(ROUND(L93*VLOOKUP(K93,【参考】数式用!$A$2:$M$57,MATCH("処遇改善加算Ⅳ",【参考】数式用!$G$3:$M$3,0)+6,0),0)*M93,0)*Z93*0.5,0), "")</f>
        <v/>
      </c>
      <c r="AD93" s="245"/>
      <c r="AE93" s="246"/>
      <c r="AF93" s="246"/>
      <c r="AG93" s="247"/>
      <c r="AH93" s="248"/>
      <c r="AI93" s="249"/>
      <c r="AJ93" s="250"/>
      <c r="AK93" s="606" t="str">
        <f t="shared" si="47"/>
        <v/>
      </c>
      <c r="AL93" s="607" t="str">
        <f t="shared" si="40"/>
        <v/>
      </c>
      <c r="AM93" s="608"/>
      <c r="AN93" s="609" t="str">
        <f>IFERROR(VLOOKUP(K93,【参考】数式用!$A$2:$N$57,14,FALSE),"")</f>
        <v/>
      </c>
      <c r="AO93" s="609" t="str">
        <f t="shared" si="48"/>
        <v/>
      </c>
      <c r="AP93" s="610" t="str">
        <f t="shared" si="49"/>
        <v/>
      </c>
      <c r="AQ93" s="610" t="str">
        <f t="shared" si="50"/>
        <v>キャリアパス要件Ⅰ・Ⅱ_</v>
      </c>
      <c r="AR93" s="611" t="str">
        <f t="shared" si="51"/>
        <v>入力済</v>
      </c>
      <c r="AS93" s="609" t="str">
        <f t="shared" si="52"/>
        <v/>
      </c>
      <c r="AT93" s="611" t="str">
        <f t="shared" si="53"/>
        <v>入力済</v>
      </c>
      <c r="AU93" s="611" t="str">
        <f t="shared" si="54"/>
        <v/>
      </c>
      <c r="AV93" s="611" t="str">
        <f t="shared" si="55"/>
        <v/>
      </c>
      <c r="AW93" s="609" t="str">
        <f t="shared" si="56"/>
        <v/>
      </c>
      <c r="AX93" s="609" t="str">
        <f t="shared" si="41"/>
        <v>入力済</v>
      </c>
      <c r="AY93" s="611" t="str">
        <f>IFERROR(VLOOKUP(K93,【参考】数式用!$AR$3:$AS$49, 2, FALSE), "")</f>
        <v/>
      </c>
      <c r="AZ93" s="609" t="str">
        <f t="shared" si="57"/>
        <v/>
      </c>
      <c r="BA93" s="612" t="str">
        <f t="shared" si="58"/>
        <v>入力済</v>
      </c>
      <c r="BB93" s="611" t="str">
        <f>IFERROR(VLOOKUP(K93,【参考】数式用!$AX$3:$AY$59, 2, FALSE), "")</f>
        <v/>
      </c>
      <c r="BC93" s="609" t="str">
        <f t="shared" si="42"/>
        <v/>
      </c>
      <c r="BD93" s="612" t="str">
        <f t="shared" si="39"/>
        <v>入力済</v>
      </c>
      <c r="BE93" s="612" t="str">
        <f t="shared" si="43"/>
        <v/>
      </c>
      <c r="BF93" s="612" t="str">
        <f t="shared" si="44"/>
        <v/>
      </c>
      <c r="BG93" s="612" t="str">
        <f t="shared" si="45"/>
        <v/>
      </c>
      <c r="BH93" s="612" t="str">
        <f t="shared" si="46"/>
        <v/>
      </c>
      <c r="BI93" s="612" t="str">
        <f t="shared" si="59"/>
        <v/>
      </c>
    </row>
    <row r="94" spans="1:61" ht="109.9" customHeight="1" thickBot="1">
      <c r="A94" s="599">
        <v>83</v>
      </c>
      <c r="B94" s="913" t="str">
        <f>IF(基本情報入力シート!B122="","",基本情報入力シート!B122)</f>
        <v/>
      </c>
      <c r="C94" s="914"/>
      <c r="D94" s="914"/>
      <c r="E94" s="914"/>
      <c r="F94" s="915"/>
      <c r="G94" s="600" t="str">
        <f>IF(基本情報入力シート!L122="", "", 基本情報入力シート!L122)</f>
        <v/>
      </c>
      <c r="H94" s="600" t="str">
        <f>IF(基本情報入力シート!Q122="", "", 基本情報入力シート!Q122)</f>
        <v/>
      </c>
      <c r="I94" s="600" t="str">
        <f>IF(基本情報入力シート!V122="", "", 基本情報入力シート!V122)</f>
        <v/>
      </c>
      <c r="J94" s="600" t="str">
        <f>IF(基本情報入力シート!W122="", "", 基本情報入力シート!W122)</f>
        <v/>
      </c>
      <c r="K94" s="600"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01" t="s">
        <v>170</v>
      </c>
      <c r="Q94" s="225"/>
      <c r="R94" s="602" t="s">
        <v>253</v>
      </c>
      <c r="S94" s="225"/>
      <c r="T94" s="602" t="s">
        <v>254</v>
      </c>
      <c r="U94" s="225"/>
      <c r="V94" s="602" t="s">
        <v>253</v>
      </c>
      <c r="W94" s="225"/>
      <c r="X94" s="602" t="s">
        <v>255</v>
      </c>
      <c r="Y94" s="602" t="s">
        <v>256</v>
      </c>
      <c r="Z94" s="602" t="str">
        <f t="shared" si="60"/>
        <v/>
      </c>
      <c r="AA94" s="603" t="s">
        <v>257</v>
      </c>
      <c r="AB94" s="604" t="str">
        <f t="shared" si="61"/>
        <v/>
      </c>
      <c r="AC94" s="605" t="str">
        <f>IFERROR(ROUNDDOWN(ROUNDDOWN(ROUND(L94*VLOOKUP(K94,【参考】数式用!$A$2:$M$57,MATCH("処遇改善加算Ⅳ",【参考】数式用!$G$3:$M$3,0)+6,0),0)*M94,0)*Z94*0.5,0), "")</f>
        <v/>
      </c>
      <c r="AD94" s="245"/>
      <c r="AE94" s="246"/>
      <c r="AF94" s="246"/>
      <c r="AG94" s="247"/>
      <c r="AH94" s="248"/>
      <c r="AI94" s="249"/>
      <c r="AJ94" s="250"/>
      <c r="AK94" s="606" t="str">
        <f t="shared" si="47"/>
        <v/>
      </c>
      <c r="AL94" s="607" t="str">
        <f t="shared" si="40"/>
        <v/>
      </c>
      <c r="AM94" s="608"/>
      <c r="AN94" s="609" t="str">
        <f>IFERROR(VLOOKUP(K94,【参考】数式用!$A$2:$N$57,14,FALSE),"")</f>
        <v/>
      </c>
      <c r="AO94" s="609" t="str">
        <f t="shared" si="48"/>
        <v/>
      </c>
      <c r="AP94" s="610" t="str">
        <f t="shared" si="49"/>
        <v/>
      </c>
      <c r="AQ94" s="610" t="str">
        <f t="shared" si="50"/>
        <v>キャリアパス要件Ⅰ・Ⅱ_</v>
      </c>
      <c r="AR94" s="611" t="str">
        <f t="shared" si="51"/>
        <v>入力済</v>
      </c>
      <c r="AS94" s="609" t="str">
        <f t="shared" si="52"/>
        <v/>
      </c>
      <c r="AT94" s="611" t="str">
        <f t="shared" si="53"/>
        <v>入力済</v>
      </c>
      <c r="AU94" s="611" t="str">
        <f t="shared" si="54"/>
        <v/>
      </c>
      <c r="AV94" s="611" t="str">
        <f t="shared" si="55"/>
        <v/>
      </c>
      <c r="AW94" s="609" t="str">
        <f t="shared" si="56"/>
        <v/>
      </c>
      <c r="AX94" s="609" t="str">
        <f t="shared" si="41"/>
        <v>入力済</v>
      </c>
      <c r="AY94" s="611" t="str">
        <f>IFERROR(VLOOKUP(K94,【参考】数式用!$AR$3:$AS$49, 2, FALSE), "")</f>
        <v/>
      </c>
      <c r="AZ94" s="609" t="str">
        <f t="shared" si="57"/>
        <v/>
      </c>
      <c r="BA94" s="612" t="str">
        <f t="shared" si="58"/>
        <v>入力済</v>
      </c>
      <c r="BB94" s="611" t="str">
        <f>IFERROR(VLOOKUP(K94,【参考】数式用!$AX$3:$AY$59, 2, FALSE), "")</f>
        <v/>
      </c>
      <c r="BC94" s="609" t="str">
        <f t="shared" si="42"/>
        <v/>
      </c>
      <c r="BD94" s="612" t="str">
        <f t="shared" si="39"/>
        <v>入力済</v>
      </c>
      <c r="BE94" s="612" t="str">
        <f t="shared" si="43"/>
        <v/>
      </c>
      <c r="BF94" s="612" t="str">
        <f t="shared" si="44"/>
        <v/>
      </c>
      <c r="BG94" s="612" t="str">
        <f t="shared" si="45"/>
        <v/>
      </c>
      <c r="BH94" s="612" t="str">
        <f t="shared" si="46"/>
        <v/>
      </c>
      <c r="BI94" s="612" t="str">
        <f t="shared" si="59"/>
        <v/>
      </c>
    </row>
    <row r="95" spans="1:61" ht="109.9" customHeight="1" thickBot="1">
      <c r="A95" s="599">
        <v>84</v>
      </c>
      <c r="B95" s="913" t="str">
        <f>IF(基本情報入力シート!B123="","",基本情報入力シート!B123)</f>
        <v/>
      </c>
      <c r="C95" s="914"/>
      <c r="D95" s="914"/>
      <c r="E95" s="914"/>
      <c r="F95" s="915"/>
      <c r="G95" s="600" t="str">
        <f>IF(基本情報入力シート!L123="", "", 基本情報入力シート!L123)</f>
        <v/>
      </c>
      <c r="H95" s="600" t="str">
        <f>IF(基本情報入力シート!Q123="", "", 基本情報入力シート!Q123)</f>
        <v/>
      </c>
      <c r="I95" s="600" t="str">
        <f>IF(基本情報入力シート!V123="", "", 基本情報入力シート!V123)</f>
        <v/>
      </c>
      <c r="J95" s="600" t="str">
        <f>IF(基本情報入力シート!W123="", "", 基本情報入力シート!W123)</f>
        <v/>
      </c>
      <c r="K95" s="600"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01" t="s">
        <v>170</v>
      </c>
      <c r="Q95" s="225"/>
      <c r="R95" s="602" t="s">
        <v>253</v>
      </c>
      <c r="S95" s="225"/>
      <c r="T95" s="602" t="s">
        <v>254</v>
      </c>
      <c r="U95" s="225"/>
      <c r="V95" s="602" t="s">
        <v>253</v>
      </c>
      <c r="W95" s="225"/>
      <c r="X95" s="602" t="s">
        <v>255</v>
      </c>
      <c r="Y95" s="602" t="s">
        <v>256</v>
      </c>
      <c r="Z95" s="602" t="str">
        <f t="shared" si="60"/>
        <v/>
      </c>
      <c r="AA95" s="603" t="s">
        <v>257</v>
      </c>
      <c r="AB95" s="604" t="str">
        <f t="shared" si="61"/>
        <v/>
      </c>
      <c r="AC95" s="605" t="str">
        <f>IFERROR(ROUNDDOWN(ROUNDDOWN(ROUND(L95*VLOOKUP(K95,【参考】数式用!$A$2:$M$57,MATCH("処遇改善加算Ⅳ",【参考】数式用!$G$3:$M$3,0)+6,0),0)*M95,0)*Z95*0.5,0), "")</f>
        <v/>
      </c>
      <c r="AD95" s="245"/>
      <c r="AE95" s="246"/>
      <c r="AF95" s="246"/>
      <c r="AG95" s="247"/>
      <c r="AH95" s="248"/>
      <c r="AI95" s="249"/>
      <c r="AJ95" s="250"/>
      <c r="AK95" s="606" t="str">
        <f t="shared" si="47"/>
        <v/>
      </c>
      <c r="AL95" s="607" t="str">
        <f t="shared" si="40"/>
        <v/>
      </c>
      <c r="AM95" s="608"/>
      <c r="AN95" s="609" t="str">
        <f>IFERROR(VLOOKUP(K95,【参考】数式用!$A$2:$N$57,14,FALSE),"")</f>
        <v/>
      </c>
      <c r="AO95" s="609" t="str">
        <f t="shared" si="48"/>
        <v/>
      </c>
      <c r="AP95" s="610" t="str">
        <f t="shared" si="49"/>
        <v/>
      </c>
      <c r="AQ95" s="610" t="str">
        <f t="shared" si="50"/>
        <v>キャリアパス要件Ⅰ・Ⅱ_</v>
      </c>
      <c r="AR95" s="611" t="str">
        <f t="shared" si="51"/>
        <v>入力済</v>
      </c>
      <c r="AS95" s="609" t="str">
        <f t="shared" si="52"/>
        <v/>
      </c>
      <c r="AT95" s="611" t="str">
        <f t="shared" si="53"/>
        <v>入力済</v>
      </c>
      <c r="AU95" s="611" t="str">
        <f t="shared" si="54"/>
        <v/>
      </c>
      <c r="AV95" s="611" t="str">
        <f t="shared" si="55"/>
        <v/>
      </c>
      <c r="AW95" s="609" t="str">
        <f t="shared" si="56"/>
        <v/>
      </c>
      <c r="AX95" s="609" t="str">
        <f t="shared" si="41"/>
        <v>入力済</v>
      </c>
      <c r="AY95" s="611" t="str">
        <f>IFERROR(VLOOKUP(K95,【参考】数式用!$AR$3:$AS$49, 2, FALSE), "")</f>
        <v/>
      </c>
      <c r="AZ95" s="609" t="str">
        <f t="shared" si="57"/>
        <v/>
      </c>
      <c r="BA95" s="612" t="str">
        <f t="shared" si="58"/>
        <v>入力済</v>
      </c>
      <c r="BB95" s="611" t="str">
        <f>IFERROR(VLOOKUP(K95,【参考】数式用!$AX$3:$AY$59, 2, FALSE), "")</f>
        <v/>
      </c>
      <c r="BC95" s="609" t="str">
        <f t="shared" si="42"/>
        <v/>
      </c>
      <c r="BD95" s="612" t="str">
        <f t="shared" si="39"/>
        <v>入力済</v>
      </c>
      <c r="BE95" s="612" t="str">
        <f t="shared" si="43"/>
        <v/>
      </c>
      <c r="BF95" s="612" t="str">
        <f t="shared" si="44"/>
        <v/>
      </c>
      <c r="BG95" s="612" t="str">
        <f t="shared" si="45"/>
        <v/>
      </c>
      <c r="BH95" s="612" t="str">
        <f t="shared" si="46"/>
        <v/>
      </c>
      <c r="BI95" s="612" t="str">
        <f t="shared" si="59"/>
        <v/>
      </c>
    </row>
    <row r="96" spans="1:61" ht="109.9" customHeight="1" thickBot="1">
      <c r="A96" s="599">
        <v>85</v>
      </c>
      <c r="B96" s="913" t="str">
        <f>IF(基本情報入力シート!B124="","",基本情報入力シート!B124)</f>
        <v/>
      </c>
      <c r="C96" s="914"/>
      <c r="D96" s="914"/>
      <c r="E96" s="914"/>
      <c r="F96" s="915"/>
      <c r="G96" s="600" t="str">
        <f>IF(基本情報入力シート!L124="", "", 基本情報入力シート!L124)</f>
        <v/>
      </c>
      <c r="H96" s="600" t="str">
        <f>IF(基本情報入力シート!Q124="", "", 基本情報入力シート!Q124)</f>
        <v/>
      </c>
      <c r="I96" s="600" t="str">
        <f>IF(基本情報入力シート!V124="", "", 基本情報入力シート!V124)</f>
        <v/>
      </c>
      <c r="J96" s="600" t="str">
        <f>IF(基本情報入力シート!W124="", "", 基本情報入力シート!W124)</f>
        <v/>
      </c>
      <c r="K96" s="600"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01" t="s">
        <v>170</v>
      </c>
      <c r="Q96" s="225"/>
      <c r="R96" s="602" t="s">
        <v>253</v>
      </c>
      <c r="S96" s="225"/>
      <c r="T96" s="602" t="s">
        <v>254</v>
      </c>
      <c r="U96" s="225"/>
      <c r="V96" s="602" t="s">
        <v>253</v>
      </c>
      <c r="W96" s="225"/>
      <c r="X96" s="602" t="s">
        <v>255</v>
      </c>
      <c r="Y96" s="602" t="s">
        <v>256</v>
      </c>
      <c r="Z96" s="602" t="str">
        <f t="shared" si="60"/>
        <v/>
      </c>
      <c r="AA96" s="603" t="s">
        <v>257</v>
      </c>
      <c r="AB96" s="604" t="str">
        <f t="shared" si="61"/>
        <v/>
      </c>
      <c r="AC96" s="605" t="str">
        <f>IFERROR(ROUNDDOWN(ROUNDDOWN(ROUND(L96*VLOOKUP(K96,【参考】数式用!$A$2:$M$57,MATCH("処遇改善加算Ⅳ",【参考】数式用!$G$3:$M$3,0)+6,0),0)*M96,0)*Z96*0.5,0), "")</f>
        <v/>
      </c>
      <c r="AD96" s="245"/>
      <c r="AE96" s="246"/>
      <c r="AF96" s="246"/>
      <c r="AG96" s="247"/>
      <c r="AH96" s="248"/>
      <c r="AI96" s="249"/>
      <c r="AJ96" s="250"/>
      <c r="AK96" s="606" t="str">
        <f t="shared" si="47"/>
        <v/>
      </c>
      <c r="AL96" s="607" t="str">
        <f t="shared" si="40"/>
        <v/>
      </c>
      <c r="AM96" s="608"/>
      <c r="AN96" s="609" t="str">
        <f>IFERROR(VLOOKUP(K96,【参考】数式用!$A$2:$N$57,14,FALSE),"")</f>
        <v/>
      </c>
      <c r="AO96" s="609" t="str">
        <f t="shared" si="48"/>
        <v/>
      </c>
      <c r="AP96" s="610" t="str">
        <f t="shared" si="49"/>
        <v/>
      </c>
      <c r="AQ96" s="610" t="str">
        <f t="shared" si="50"/>
        <v>キャリアパス要件Ⅰ・Ⅱ_</v>
      </c>
      <c r="AR96" s="611" t="str">
        <f t="shared" si="51"/>
        <v>入力済</v>
      </c>
      <c r="AS96" s="609" t="str">
        <f t="shared" si="52"/>
        <v/>
      </c>
      <c r="AT96" s="611" t="str">
        <f t="shared" si="53"/>
        <v>入力済</v>
      </c>
      <c r="AU96" s="611" t="str">
        <f t="shared" si="54"/>
        <v/>
      </c>
      <c r="AV96" s="611" t="str">
        <f t="shared" si="55"/>
        <v/>
      </c>
      <c r="AW96" s="609" t="str">
        <f t="shared" si="56"/>
        <v/>
      </c>
      <c r="AX96" s="609" t="str">
        <f t="shared" si="41"/>
        <v>入力済</v>
      </c>
      <c r="AY96" s="611" t="str">
        <f>IFERROR(VLOOKUP(K96,【参考】数式用!$AR$3:$AS$49, 2, FALSE), "")</f>
        <v/>
      </c>
      <c r="AZ96" s="609" t="str">
        <f t="shared" si="57"/>
        <v/>
      </c>
      <c r="BA96" s="612" t="str">
        <f t="shared" si="58"/>
        <v>入力済</v>
      </c>
      <c r="BB96" s="611" t="str">
        <f>IFERROR(VLOOKUP(K96,【参考】数式用!$AX$3:$AY$59, 2, FALSE), "")</f>
        <v/>
      </c>
      <c r="BC96" s="609" t="str">
        <f t="shared" si="42"/>
        <v/>
      </c>
      <c r="BD96" s="612" t="str">
        <f t="shared" si="39"/>
        <v>入力済</v>
      </c>
      <c r="BE96" s="612" t="str">
        <f t="shared" si="43"/>
        <v/>
      </c>
      <c r="BF96" s="612" t="str">
        <f t="shared" si="44"/>
        <v/>
      </c>
      <c r="BG96" s="612" t="str">
        <f t="shared" si="45"/>
        <v/>
      </c>
      <c r="BH96" s="612" t="str">
        <f t="shared" si="46"/>
        <v/>
      </c>
      <c r="BI96" s="612" t="str">
        <f t="shared" si="59"/>
        <v/>
      </c>
    </row>
    <row r="97" spans="1:61" ht="109.9" customHeight="1" thickBot="1">
      <c r="A97" s="599">
        <v>86</v>
      </c>
      <c r="B97" s="913" t="str">
        <f>IF(基本情報入力シート!B125="","",基本情報入力シート!B125)</f>
        <v/>
      </c>
      <c r="C97" s="914"/>
      <c r="D97" s="914"/>
      <c r="E97" s="914"/>
      <c r="F97" s="915"/>
      <c r="G97" s="600" t="str">
        <f>IF(基本情報入力シート!L125="", "", 基本情報入力シート!L125)</f>
        <v/>
      </c>
      <c r="H97" s="600" t="str">
        <f>IF(基本情報入力シート!Q125="", "", 基本情報入力シート!Q125)</f>
        <v/>
      </c>
      <c r="I97" s="600" t="str">
        <f>IF(基本情報入力シート!V125="", "", 基本情報入力シート!V125)</f>
        <v/>
      </c>
      <c r="J97" s="600" t="str">
        <f>IF(基本情報入力シート!W125="", "", 基本情報入力シート!W125)</f>
        <v/>
      </c>
      <c r="K97" s="600"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01" t="s">
        <v>170</v>
      </c>
      <c r="Q97" s="225"/>
      <c r="R97" s="602" t="s">
        <v>253</v>
      </c>
      <c r="S97" s="225"/>
      <c r="T97" s="602" t="s">
        <v>254</v>
      </c>
      <c r="U97" s="225"/>
      <c r="V97" s="602" t="s">
        <v>253</v>
      </c>
      <c r="W97" s="225"/>
      <c r="X97" s="602" t="s">
        <v>172</v>
      </c>
      <c r="Y97" s="602" t="s">
        <v>256</v>
      </c>
      <c r="Z97" s="602" t="str">
        <f t="shared" si="60"/>
        <v/>
      </c>
      <c r="AA97" s="603" t="s">
        <v>257</v>
      </c>
      <c r="AB97" s="604" t="str">
        <f t="shared" si="61"/>
        <v/>
      </c>
      <c r="AC97" s="605" t="str">
        <f>IFERROR(ROUNDDOWN(ROUNDDOWN(ROUND(L97*VLOOKUP(K97,【参考】数式用!$A$2:$M$57,MATCH("処遇改善加算Ⅳ",【参考】数式用!$G$3:$M$3,0)+6,0),0)*M97,0)*Z97*0.5,0), "")</f>
        <v/>
      </c>
      <c r="AD97" s="245"/>
      <c r="AE97" s="246"/>
      <c r="AF97" s="246"/>
      <c r="AG97" s="247"/>
      <c r="AH97" s="248"/>
      <c r="AI97" s="249"/>
      <c r="AJ97" s="250"/>
      <c r="AK97" s="606" t="str">
        <f t="shared" si="47"/>
        <v/>
      </c>
      <c r="AL97" s="607" t="str">
        <f t="shared" si="40"/>
        <v/>
      </c>
      <c r="AM97" s="608"/>
      <c r="AN97" s="609" t="str">
        <f>IFERROR(VLOOKUP(K97,【参考】数式用!$A$2:$N$57,14,FALSE),"")</f>
        <v/>
      </c>
      <c r="AO97" s="609" t="str">
        <f t="shared" si="48"/>
        <v/>
      </c>
      <c r="AP97" s="610" t="str">
        <f t="shared" si="49"/>
        <v/>
      </c>
      <c r="AQ97" s="610" t="str">
        <f t="shared" si="50"/>
        <v>キャリアパス要件Ⅰ・Ⅱ_</v>
      </c>
      <c r="AR97" s="611" t="str">
        <f t="shared" si="51"/>
        <v>入力済</v>
      </c>
      <c r="AS97" s="609" t="str">
        <f t="shared" si="52"/>
        <v/>
      </c>
      <c r="AT97" s="611" t="str">
        <f t="shared" si="53"/>
        <v>入力済</v>
      </c>
      <c r="AU97" s="611" t="str">
        <f t="shared" si="54"/>
        <v/>
      </c>
      <c r="AV97" s="611" t="str">
        <f t="shared" si="55"/>
        <v/>
      </c>
      <c r="AW97" s="609" t="str">
        <f t="shared" si="56"/>
        <v/>
      </c>
      <c r="AX97" s="609" t="str">
        <f t="shared" si="41"/>
        <v>入力済</v>
      </c>
      <c r="AY97" s="611" t="str">
        <f>IFERROR(VLOOKUP(K97,【参考】数式用!$AR$3:$AS$49, 2, FALSE), "")</f>
        <v/>
      </c>
      <c r="AZ97" s="609" t="str">
        <f t="shared" si="57"/>
        <v/>
      </c>
      <c r="BA97" s="612" t="str">
        <f t="shared" si="58"/>
        <v>入力済</v>
      </c>
      <c r="BB97" s="611" t="str">
        <f>IFERROR(VLOOKUP(K97,【参考】数式用!$AX$3:$AY$59, 2, FALSE), "")</f>
        <v/>
      </c>
      <c r="BC97" s="609" t="str">
        <f t="shared" si="42"/>
        <v/>
      </c>
      <c r="BD97" s="612" t="str">
        <f t="shared" si="39"/>
        <v>入力済</v>
      </c>
      <c r="BE97" s="612" t="str">
        <f t="shared" si="43"/>
        <v/>
      </c>
      <c r="BF97" s="612" t="str">
        <f t="shared" si="44"/>
        <v/>
      </c>
      <c r="BG97" s="612" t="str">
        <f t="shared" si="45"/>
        <v/>
      </c>
      <c r="BH97" s="612" t="str">
        <f t="shared" si="46"/>
        <v/>
      </c>
      <c r="BI97" s="612" t="str">
        <f t="shared" si="59"/>
        <v/>
      </c>
    </row>
    <row r="98" spans="1:61" ht="109.9" customHeight="1" thickBot="1">
      <c r="A98" s="599">
        <v>87</v>
      </c>
      <c r="B98" s="913" t="str">
        <f>IF(基本情報入力シート!B126="","",基本情報入力シート!B126)</f>
        <v/>
      </c>
      <c r="C98" s="914"/>
      <c r="D98" s="914"/>
      <c r="E98" s="914"/>
      <c r="F98" s="915"/>
      <c r="G98" s="600" t="str">
        <f>IF(基本情報入力シート!L126="", "", 基本情報入力シート!L126)</f>
        <v/>
      </c>
      <c r="H98" s="600" t="str">
        <f>IF(基本情報入力シート!Q126="", "", 基本情報入力シート!Q126)</f>
        <v/>
      </c>
      <c r="I98" s="600" t="str">
        <f>IF(基本情報入力シート!V126="", "", 基本情報入力シート!V126)</f>
        <v/>
      </c>
      <c r="J98" s="600" t="str">
        <f>IF(基本情報入力シート!W126="", "", 基本情報入力シート!W126)</f>
        <v/>
      </c>
      <c r="K98" s="600"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01" t="s">
        <v>170</v>
      </c>
      <c r="Q98" s="225"/>
      <c r="R98" s="602" t="s">
        <v>253</v>
      </c>
      <c r="S98" s="225"/>
      <c r="T98" s="602" t="s">
        <v>254</v>
      </c>
      <c r="U98" s="225"/>
      <c r="V98" s="602" t="s">
        <v>253</v>
      </c>
      <c r="W98" s="225"/>
      <c r="X98" s="602" t="s">
        <v>172</v>
      </c>
      <c r="Y98" s="602" t="s">
        <v>256</v>
      </c>
      <c r="Z98" s="602" t="str">
        <f t="shared" si="60"/>
        <v/>
      </c>
      <c r="AA98" s="603" t="s">
        <v>257</v>
      </c>
      <c r="AB98" s="604" t="str">
        <f t="shared" si="61"/>
        <v/>
      </c>
      <c r="AC98" s="605" t="str">
        <f>IFERROR(ROUNDDOWN(ROUNDDOWN(ROUND(L98*VLOOKUP(K98,【参考】数式用!$A$2:$M$57,MATCH("処遇改善加算Ⅳ",【参考】数式用!$G$3:$M$3,0)+6,0),0)*M98,0)*Z98*0.5,0), "")</f>
        <v/>
      </c>
      <c r="AD98" s="245"/>
      <c r="AE98" s="246"/>
      <c r="AF98" s="246"/>
      <c r="AG98" s="247"/>
      <c r="AH98" s="248"/>
      <c r="AI98" s="249"/>
      <c r="AJ98" s="250"/>
      <c r="AK98" s="606" t="str">
        <f t="shared" si="47"/>
        <v/>
      </c>
      <c r="AL98" s="607" t="str">
        <f t="shared" si="40"/>
        <v/>
      </c>
      <c r="AM98" s="608"/>
      <c r="AN98" s="609" t="str">
        <f>IFERROR(VLOOKUP(K98,【参考】数式用!$A$2:$N$57,14,FALSE),"")</f>
        <v/>
      </c>
      <c r="AO98" s="609" t="str">
        <f t="shared" si="48"/>
        <v/>
      </c>
      <c r="AP98" s="610" t="str">
        <f t="shared" si="49"/>
        <v/>
      </c>
      <c r="AQ98" s="610" t="str">
        <f t="shared" si="50"/>
        <v>キャリアパス要件Ⅰ・Ⅱ_</v>
      </c>
      <c r="AR98" s="611" t="str">
        <f t="shared" si="51"/>
        <v>入力済</v>
      </c>
      <c r="AS98" s="609" t="str">
        <f t="shared" si="52"/>
        <v/>
      </c>
      <c r="AT98" s="611" t="str">
        <f t="shared" si="53"/>
        <v>入力済</v>
      </c>
      <c r="AU98" s="611" t="str">
        <f t="shared" si="54"/>
        <v/>
      </c>
      <c r="AV98" s="611" t="str">
        <f t="shared" si="55"/>
        <v/>
      </c>
      <c r="AW98" s="609" t="str">
        <f t="shared" si="56"/>
        <v/>
      </c>
      <c r="AX98" s="609" t="str">
        <f t="shared" si="41"/>
        <v>入力済</v>
      </c>
      <c r="AY98" s="611" t="str">
        <f>IFERROR(VLOOKUP(K98,【参考】数式用!$AR$3:$AS$49, 2, FALSE), "")</f>
        <v/>
      </c>
      <c r="AZ98" s="609" t="str">
        <f t="shared" si="57"/>
        <v/>
      </c>
      <c r="BA98" s="612" t="str">
        <f t="shared" si="58"/>
        <v>入力済</v>
      </c>
      <c r="BB98" s="611" t="str">
        <f>IFERROR(VLOOKUP(K98,【参考】数式用!$AX$3:$AY$59, 2, FALSE), "")</f>
        <v/>
      </c>
      <c r="BC98" s="609" t="str">
        <f t="shared" si="42"/>
        <v/>
      </c>
      <c r="BD98" s="612" t="str">
        <f t="shared" si="39"/>
        <v>入力済</v>
      </c>
      <c r="BE98" s="612" t="str">
        <f t="shared" si="43"/>
        <v/>
      </c>
      <c r="BF98" s="612" t="str">
        <f t="shared" si="44"/>
        <v/>
      </c>
      <c r="BG98" s="612" t="str">
        <f t="shared" si="45"/>
        <v/>
      </c>
      <c r="BH98" s="612" t="str">
        <f t="shared" si="46"/>
        <v/>
      </c>
      <c r="BI98" s="612" t="str">
        <f t="shared" si="59"/>
        <v/>
      </c>
    </row>
    <row r="99" spans="1:61" ht="109.9" customHeight="1" thickBot="1">
      <c r="A99" s="599">
        <v>88</v>
      </c>
      <c r="B99" s="913" t="str">
        <f>IF(基本情報入力シート!B127="","",基本情報入力シート!B127)</f>
        <v/>
      </c>
      <c r="C99" s="914"/>
      <c r="D99" s="914"/>
      <c r="E99" s="914"/>
      <c r="F99" s="915"/>
      <c r="G99" s="600" t="str">
        <f>IF(基本情報入力シート!L127="", "", 基本情報入力シート!L127)</f>
        <v/>
      </c>
      <c r="H99" s="600" t="str">
        <f>IF(基本情報入力シート!Q127="", "", 基本情報入力シート!Q127)</f>
        <v/>
      </c>
      <c r="I99" s="600" t="str">
        <f>IF(基本情報入力シート!V127="", "", 基本情報入力シート!V127)</f>
        <v/>
      </c>
      <c r="J99" s="600" t="str">
        <f>IF(基本情報入力シート!W127="", "", 基本情報入力シート!W127)</f>
        <v/>
      </c>
      <c r="K99" s="600"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01" t="s">
        <v>170</v>
      </c>
      <c r="Q99" s="225"/>
      <c r="R99" s="602" t="s">
        <v>253</v>
      </c>
      <c r="S99" s="225"/>
      <c r="T99" s="602" t="s">
        <v>254</v>
      </c>
      <c r="U99" s="225"/>
      <c r="V99" s="602" t="s">
        <v>253</v>
      </c>
      <c r="W99" s="225"/>
      <c r="X99" s="602" t="s">
        <v>255</v>
      </c>
      <c r="Y99" s="602" t="s">
        <v>256</v>
      </c>
      <c r="Z99" s="602" t="str">
        <f t="shared" si="60"/>
        <v/>
      </c>
      <c r="AA99" s="603" t="s">
        <v>257</v>
      </c>
      <c r="AB99" s="604" t="str">
        <f t="shared" si="61"/>
        <v/>
      </c>
      <c r="AC99" s="605" t="str">
        <f>IFERROR(ROUNDDOWN(ROUNDDOWN(ROUND(L99*VLOOKUP(K99,【参考】数式用!$A$2:$M$57,MATCH("処遇改善加算Ⅳ",【参考】数式用!$G$3:$M$3,0)+6,0),0)*M99,0)*Z99*0.5,0), "")</f>
        <v/>
      </c>
      <c r="AD99" s="245"/>
      <c r="AE99" s="246"/>
      <c r="AF99" s="246"/>
      <c r="AG99" s="247"/>
      <c r="AH99" s="248"/>
      <c r="AI99" s="249"/>
      <c r="AJ99" s="250"/>
      <c r="AK99" s="606" t="str">
        <f t="shared" si="47"/>
        <v/>
      </c>
      <c r="AL99" s="607" t="str">
        <f t="shared" si="40"/>
        <v/>
      </c>
      <c r="AM99" s="608"/>
      <c r="AN99" s="609" t="str">
        <f>IFERROR(VLOOKUP(K99,【参考】数式用!$A$2:$N$57,14,FALSE),"")</f>
        <v/>
      </c>
      <c r="AO99" s="609" t="str">
        <f t="shared" si="48"/>
        <v/>
      </c>
      <c r="AP99" s="610" t="str">
        <f t="shared" si="49"/>
        <v/>
      </c>
      <c r="AQ99" s="610" t="str">
        <f t="shared" si="50"/>
        <v>キャリアパス要件Ⅰ・Ⅱ_</v>
      </c>
      <c r="AR99" s="611" t="str">
        <f t="shared" si="51"/>
        <v>入力済</v>
      </c>
      <c r="AS99" s="609" t="str">
        <f t="shared" si="52"/>
        <v/>
      </c>
      <c r="AT99" s="611" t="str">
        <f t="shared" si="53"/>
        <v>入力済</v>
      </c>
      <c r="AU99" s="611" t="str">
        <f t="shared" si="54"/>
        <v/>
      </c>
      <c r="AV99" s="611" t="str">
        <f t="shared" si="55"/>
        <v/>
      </c>
      <c r="AW99" s="609" t="str">
        <f t="shared" si="56"/>
        <v/>
      </c>
      <c r="AX99" s="609" t="str">
        <f t="shared" si="41"/>
        <v>入力済</v>
      </c>
      <c r="AY99" s="611" t="str">
        <f>IFERROR(VLOOKUP(K99,【参考】数式用!$AR$3:$AS$49, 2, FALSE), "")</f>
        <v/>
      </c>
      <c r="AZ99" s="609" t="str">
        <f t="shared" si="57"/>
        <v/>
      </c>
      <c r="BA99" s="612" t="str">
        <f t="shared" si="58"/>
        <v>入力済</v>
      </c>
      <c r="BB99" s="611" t="str">
        <f>IFERROR(VLOOKUP(K99,【参考】数式用!$AX$3:$AY$59, 2, FALSE), "")</f>
        <v/>
      </c>
      <c r="BC99" s="609" t="str">
        <f t="shared" si="42"/>
        <v/>
      </c>
      <c r="BD99" s="612" t="str">
        <f t="shared" si="39"/>
        <v>入力済</v>
      </c>
      <c r="BE99" s="612" t="str">
        <f t="shared" si="43"/>
        <v/>
      </c>
      <c r="BF99" s="612" t="str">
        <f t="shared" si="44"/>
        <v/>
      </c>
      <c r="BG99" s="612" t="str">
        <f t="shared" si="45"/>
        <v/>
      </c>
      <c r="BH99" s="612" t="str">
        <f t="shared" si="46"/>
        <v/>
      </c>
      <c r="BI99" s="612" t="str">
        <f t="shared" si="59"/>
        <v/>
      </c>
    </row>
    <row r="100" spans="1:61" ht="109.9" customHeight="1" thickBot="1">
      <c r="A100" s="599">
        <v>89</v>
      </c>
      <c r="B100" s="913" t="str">
        <f>IF(基本情報入力シート!B128="","",基本情報入力シート!B128)</f>
        <v/>
      </c>
      <c r="C100" s="914"/>
      <c r="D100" s="914"/>
      <c r="E100" s="914"/>
      <c r="F100" s="915"/>
      <c r="G100" s="600" t="str">
        <f>IF(基本情報入力シート!L128="", "", 基本情報入力シート!L128)</f>
        <v/>
      </c>
      <c r="H100" s="600" t="str">
        <f>IF(基本情報入力シート!Q128="", "", 基本情報入力シート!Q128)</f>
        <v/>
      </c>
      <c r="I100" s="600" t="str">
        <f>IF(基本情報入力シート!V128="", "", 基本情報入力シート!V128)</f>
        <v/>
      </c>
      <c r="J100" s="600" t="str">
        <f>IF(基本情報入力シート!W128="", "", 基本情報入力シート!W128)</f>
        <v/>
      </c>
      <c r="K100" s="600"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01" t="s">
        <v>170</v>
      </c>
      <c r="Q100" s="225"/>
      <c r="R100" s="602" t="s">
        <v>253</v>
      </c>
      <c r="S100" s="225"/>
      <c r="T100" s="602" t="s">
        <v>254</v>
      </c>
      <c r="U100" s="225"/>
      <c r="V100" s="602" t="s">
        <v>253</v>
      </c>
      <c r="W100" s="225"/>
      <c r="X100" s="602" t="s">
        <v>255</v>
      </c>
      <c r="Y100" s="602" t="s">
        <v>256</v>
      </c>
      <c r="Z100" s="602" t="str">
        <f t="shared" si="60"/>
        <v/>
      </c>
      <c r="AA100" s="603" t="s">
        <v>257</v>
      </c>
      <c r="AB100" s="604" t="str">
        <f t="shared" si="61"/>
        <v/>
      </c>
      <c r="AC100" s="605" t="str">
        <f>IFERROR(ROUNDDOWN(ROUNDDOWN(ROUND(L100*VLOOKUP(K100,【参考】数式用!$A$2:$M$57,MATCH("処遇改善加算Ⅳ",【参考】数式用!$G$3:$M$3,0)+6,0),0)*M100,0)*Z100*0.5,0), "")</f>
        <v/>
      </c>
      <c r="AD100" s="245"/>
      <c r="AE100" s="246"/>
      <c r="AF100" s="246"/>
      <c r="AG100" s="247"/>
      <c r="AH100" s="248"/>
      <c r="AI100" s="249"/>
      <c r="AJ100" s="250"/>
      <c r="AK100" s="606" t="str">
        <f t="shared" si="47"/>
        <v/>
      </c>
      <c r="AL100" s="607" t="str">
        <f t="shared" si="40"/>
        <v/>
      </c>
      <c r="AM100" s="608"/>
      <c r="AN100" s="609" t="str">
        <f>IFERROR(VLOOKUP(K100,【参考】数式用!$A$2:$N$57,14,FALSE),"")</f>
        <v/>
      </c>
      <c r="AO100" s="609" t="str">
        <f t="shared" si="48"/>
        <v/>
      </c>
      <c r="AP100" s="610" t="str">
        <f t="shared" si="49"/>
        <v/>
      </c>
      <c r="AQ100" s="610" t="str">
        <f t="shared" si="50"/>
        <v>キャリアパス要件Ⅰ・Ⅱ_</v>
      </c>
      <c r="AR100" s="611" t="str">
        <f t="shared" si="51"/>
        <v>入力済</v>
      </c>
      <c r="AS100" s="609" t="str">
        <f t="shared" si="52"/>
        <v/>
      </c>
      <c r="AT100" s="611" t="str">
        <f t="shared" si="53"/>
        <v>入力済</v>
      </c>
      <c r="AU100" s="611" t="str">
        <f t="shared" si="54"/>
        <v/>
      </c>
      <c r="AV100" s="611" t="str">
        <f t="shared" si="55"/>
        <v/>
      </c>
      <c r="AW100" s="609" t="str">
        <f t="shared" si="56"/>
        <v/>
      </c>
      <c r="AX100" s="609" t="str">
        <f t="shared" si="41"/>
        <v>入力済</v>
      </c>
      <c r="AY100" s="611" t="str">
        <f>IFERROR(VLOOKUP(K100,【参考】数式用!$AR$3:$AS$49, 2, FALSE), "")</f>
        <v/>
      </c>
      <c r="AZ100" s="609" t="str">
        <f t="shared" si="57"/>
        <v/>
      </c>
      <c r="BA100" s="612" t="str">
        <f t="shared" si="58"/>
        <v>入力済</v>
      </c>
      <c r="BB100" s="611" t="str">
        <f>IFERROR(VLOOKUP(K100,【参考】数式用!$AX$3:$AY$59, 2, FALSE), "")</f>
        <v/>
      </c>
      <c r="BC100" s="609" t="str">
        <f t="shared" si="42"/>
        <v/>
      </c>
      <c r="BD100" s="612" t="str">
        <f t="shared" si="39"/>
        <v>入力済</v>
      </c>
      <c r="BE100" s="612" t="str">
        <f t="shared" si="43"/>
        <v/>
      </c>
      <c r="BF100" s="612" t="str">
        <f t="shared" si="44"/>
        <v/>
      </c>
      <c r="BG100" s="612" t="str">
        <f t="shared" si="45"/>
        <v/>
      </c>
      <c r="BH100" s="612" t="str">
        <f t="shared" si="46"/>
        <v/>
      </c>
      <c r="BI100" s="612" t="str">
        <f t="shared" si="59"/>
        <v/>
      </c>
    </row>
    <row r="101" spans="1:61" ht="109.9" customHeight="1" thickBot="1">
      <c r="A101" s="599">
        <v>90</v>
      </c>
      <c r="B101" s="913" t="str">
        <f>IF(基本情報入力シート!B129="","",基本情報入力シート!B129)</f>
        <v/>
      </c>
      <c r="C101" s="914"/>
      <c r="D101" s="914"/>
      <c r="E101" s="914"/>
      <c r="F101" s="915"/>
      <c r="G101" s="600" t="str">
        <f>IF(基本情報入力シート!L129="", "", 基本情報入力シート!L129)</f>
        <v/>
      </c>
      <c r="H101" s="600" t="str">
        <f>IF(基本情報入力シート!Q129="", "", 基本情報入力シート!Q129)</f>
        <v/>
      </c>
      <c r="I101" s="600" t="str">
        <f>IF(基本情報入力シート!V129="", "", 基本情報入力シート!V129)</f>
        <v/>
      </c>
      <c r="J101" s="600" t="str">
        <f>IF(基本情報入力シート!W129="", "", 基本情報入力シート!W129)</f>
        <v/>
      </c>
      <c r="K101" s="600"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01" t="s">
        <v>170</v>
      </c>
      <c r="Q101" s="225"/>
      <c r="R101" s="602" t="s">
        <v>253</v>
      </c>
      <c r="S101" s="225"/>
      <c r="T101" s="602" t="s">
        <v>254</v>
      </c>
      <c r="U101" s="225"/>
      <c r="V101" s="602" t="s">
        <v>253</v>
      </c>
      <c r="W101" s="225"/>
      <c r="X101" s="602" t="s">
        <v>255</v>
      </c>
      <c r="Y101" s="602" t="s">
        <v>256</v>
      </c>
      <c r="Z101" s="602" t="str">
        <f t="shared" si="60"/>
        <v/>
      </c>
      <c r="AA101" s="603" t="s">
        <v>257</v>
      </c>
      <c r="AB101" s="604" t="str">
        <f t="shared" si="61"/>
        <v/>
      </c>
      <c r="AC101" s="605" t="str">
        <f>IFERROR(ROUNDDOWN(ROUNDDOWN(ROUND(L101*VLOOKUP(K101,【参考】数式用!$A$2:$M$57,MATCH("処遇改善加算Ⅳ",【参考】数式用!$G$3:$M$3,0)+6,0),0)*M101,0)*Z101*0.5,0), "")</f>
        <v/>
      </c>
      <c r="AD101" s="245"/>
      <c r="AE101" s="246"/>
      <c r="AF101" s="246"/>
      <c r="AG101" s="247"/>
      <c r="AH101" s="248"/>
      <c r="AI101" s="249"/>
      <c r="AJ101" s="250"/>
      <c r="AK101" s="606" t="str">
        <f t="shared" si="47"/>
        <v/>
      </c>
      <c r="AL101" s="607" t="str">
        <f t="shared" si="40"/>
        <v/>
      </c>
      <c r="AM101" s="608"/>
      <c r="AN101" s="609" t="str">
        <f>IFERROR(VLOOKUP(K101,【参考】数式用!$A$2:$N$57,14,FALSE),"")</f>
        <v/>
      </c>
      <c r="AO101" s="609" t="str">
        <f t="shared" si="48"/>
        <v/>
      </c>
      <c r="AP101" s="610" t="str">
        <f t="shared" si="49"/>
        <v/>
      </c>
      <c r="AQ101" s="610" t="str">
        <f t="shared" si="50"/>
        <v>キャリアパス要件Ⅰ・Ⅱ_</v>
      </c>
      <c r="AR101" s="611" t="str">
        <f t="shared" si="51"/>
        <v>入力済</v>
      </c>
      <c r="AS101" s="609" t="str">
        <f t="shared" si="52"/>
        <v/>
      </c>
      <c r="AT101" s="611" t="str">
        <f t="shared" si="53"/>
        <v>入力済</v>
      </c>
      <c r="AU101" s="611" t="str">
        <f t="shared" si="54"/>
        <v/>
      </c>
      <c r="AV101" s="611" t="str">
        <f t="shared" si="55"/>
        <v/>
      </c>
      <c r="AW101" s="609" t="str">
        <f t="shared" si="56"/>
        <v/>
      </c>
      <c r="AX101" s="609" t="str">
        <f t="shared" si="41"/>
        <v>入力済</v>
      </c>
      <c r="AY101" s="611" t="str">
        <f>IFERROR(VLOOKUP(K101,【参考】数式用!$AR$3:$AS$49, 2, FALSE), "")</f>
        <v/>
      </c>
      <c r="AZ101" s="609" t="str">
        <f t="shared" si="57"/>
        <v/>
      </c>
      <c r="BA101" s="612" t="str">
        <f t="shared" si="58"/>
        <v>入力済</v>
      </c>
      <c r="BB101" s="611" t="str">
        <f>IFERROR(VLOOKUP(K101,【参考】数式用!$AX$3:$AY$59, 2, FALSE), "")</f>
        <v/>
      </c>
      <c r="BC101" s="609" t="str">
        <f t="shared" si="42"/>
        <v/>
      </c>
      <c r="BD101" s="612" t="str">
        <f t="shared" si="39"/>
        <v>入力済</v>
      </c>
      <c r="BE101" s="612" t="str">
        <f t="shared" si="43"/>
        <v/>
      </c>
      <c r="BF101" s="612" t="str">
        <f t="shared" si="44"/>
        <v/>
      </c>
      <c r="BG101" s="612" t="str">
        <f t="shared" si="45"/>
        <v/>
      </c>
      <c r="BH101" s="612" t="str">
        <f t="shared" si="46"/>
        <v/>
      </c>
      <c r="BI101" s="612" t="str">
        <f t="shared" si="59"/>
        <v/>
      </c>
    </row>
    <row r="102" spans="1:61" ht="109.9" customHeight="1" thickBot="1">
      <c r="A102" s="599">
        <v>91</v>
      </c>
      <c r="B102" s="913" t="str">
        <f>IF(基本情報入力シート!B130="","",基本情報入力シート!B130)</f>
        <v/>
      </c>
      <c r="C102" s="914"/>
      <c r="D102" s="914"/>
      <c r="E102" s="914"/>
      <c r="F102" s="915"/>
      <c r="G102" s="600" t="str">
        <f>IF(基本情報入力シート!L130="", "", 基本情報入力シート!L130)</f>
        <v/>
      </c>
      <c r="H102" s="600" t="str">
        <f>IF(基本情報入力シート!Q130="", "", 基本情報入力シート!Q130)</f>
        <v/>
      </c>
      <c r="I102" s="600" t="str">
        <f>IF(基本情報入力シート!V130="", "", 基本情報入力シート!V130)</f>
        <v/>
      </c>
      <c r="J102" s="600" t="str">
        <f>IF(基本情報入力シート!W130="", "", 基本情報入力シート!W130)</f>
        <v/>
      </c>
      <c r="K102" s="600"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01" t="s">
        <v>170</v>
      </c>
      <c r="Q102" s="225"/>
      <c r="R102" s="602" t="s">
        <v>253</v>
      </c>
      <c r="S102" s="225"/>
      <c r="T102" s="602" t="s">
        <v>254</v>
      </c>
      <c r="U102" s="225"/>
      <c r="V102" s="602" t="s">
        <v>253</v>
      </c>
      <c r="W102" s="225"/>
      <c r="X102" s="602" t="s">
        <v>172</v>
      </c>
      <c r="Y102" s="602" t="s">
        <v>256</v>
      </c>
      <c r="Z102" s="602" t="str">
        <f t="shared" si="60"/>
        <v/>
      </c>
      <c r="AA102" s="603" t="s">
        <v>257</v>
      </c>
      <c r="AB102" s="604" t="str">
        <f t="shared" si="61"/>
        <v/>
      </c>
      <c r="AC102" s="605" t="str">
        <f>IFERROR(ROUNDDOWN(ROUNDDOWN(ROUND(L102*VLOOKUP(K102,【参考】数式用!$A$2:$M$57,MATCH("処遇改善加算Ⅳ",【参考】数式用!$G$3:$M$3,0)+6,0),0)*M102,0)*Z102*0.5,0), "")</f>
        <v/>
      </c>
      <c r="AD102" s="245"/>
      <c r="AE102" s="246"/>
      <c r="AF102" s="246"/>
      <c r="AG102" s="247"/>
      <c r="AH102" s="248"/>
      <c r="AI102" s="249"/>
      <c r="AJ102" s="250"/>
      <c r="AK102" s="606" t="str">
        <f t="shared" si="47"/>
        <v/>
      </c>
      <c r="AL102" s="607" t="str">
        <f t="shared" si="40"/>
        <v/>
      </c>
      <c r="AM102" s="608"/>
      <c r="AN102" s="609" t="str">
        <f>IFERROR(VLOOKUP(K102,【参考】数式用!$A$2:$N$57,14,FALSE),"")</f>
        <v/>
      </c>
      <c r="AO102" s="609" t="str">
        <f t="shared" si="48"/>
        <v/>
      </c>
      <c r="AP102" s="610" t="str">
        <f t="shared" si="49"/>
        <v/>
      </c>
      <c r="AQ102" s="610" t="str">
        <f t="shared" si="50"/>
        <v>キャリアパス要件Ⅰ・Ⅱ_</v>
      </c>
      <c r="AR102" s="611" t="str">
        <f t="shared" si="51"/>
        <v>入力済</v>
      </c>
      <c r="AS102" s="609" t="str">
        <f t="shared" si="52"/>
        <v/>
      </c>
      <c r="AT102" s="611" t="str">
        <f t="shared" si="53"/>
        <v>入力済</v>
      </c>
      <c r="AU102" s="611" t="str">
        <f t="shared" si="54"/>
        <v/>
      </c>
      <c r="AV102" s="611" t="str">
        <f t="shared" si="55"/>
        <v/>
      </c>
      <c r="AW102" s="609" t="str">
        <f t="shared" si="56"/>
        <v/>
      </c>
      <c r="AX102" s="609" t="str">
        <f t="shared" si="41"/>
        <v>入力済</v>
      </c>
      <c r="AY102" s="611" t="str">
        <f>IFERROR(VLOOKUP(K102,【参考】数式用!$AR$3:$AS$49, 2, FALSE), "")</f>
        <v/>
      </c>
      <c r="AZ102" s="609" t="str">
        <f t="shared" si="57"/>
        <v/>
      </c>
      <c r="BA102" s="612" t="str">
        <f t="shared" si="58"/>
        <v>入力済</v>
      </c>
      <c r="BB102" s="611" t="str">
        <f>IFERROR(VLOOKUP(K102,【参考】数式用!$AX$3:$AY$59, 2, FALSE), "")</f>
        <v/>
      </c>
      <c r="BC102" s="609" t="str">
        <f t="shared" si="42"/>
        <v/>
      </c>
      <c r="BD102" s="612" t="str">
        <f t="shared" si="39"/>
        <v>入力済</v>
      </c>
      <c r="BE102" s="612" t="str">
        <f t="shared" si="43"/>
        <v/>
      </c>
      <c r="BF102" s="612" t="str">
        <f t="shared" si="44"/>
        <v/>
      </c>
      <c r="BG102" s="612" t="str">
        <f t="shared" si="45"/>
        <v/>
      </c>
      <c r="BH102" s="612" t="str">
        <f t="shared" si="46"/>
        <v/>
      </c>
      <c r="BI102" s="612" t="str">
        <f t="shared" si="59"/>
        <v/>
      </c>
    </row>
    <row r="103" spans="1:61" ht="109.9" customHeight="1" thickBot="1">
      <c r="A103" s="599">
        <v>92</v>
      </c>
      <c r="B103" s="913" t="str">
        <f>IF(基本情報入力シート!B131="","",基本情報入力シート!B131)</f>
        <v/>
      </c>
      <c r="C103" s="914"/>
      <c r="D103" s="914"/>
      <c r="E103" s="914"/>
      <c r="F103" s="915"/>
      <c r="G103" s="600" t="str">
        <f>IF(基本情報入力シート!L131="", "", 基本情報入力シート!L131)</f>
        <v/>
      </c>
      <c r="H103" s="600" t="str">
        <f>IF(基本情報入力シート!Q131="", "", 基本情報入力シート!Q131)</f>
        <v/>
      </c>
      <c r="I103" s="600" t="str">
        <f>IF(基本情報入力シート!V131="", "", 基本情報入力シート!V131)</f>
        <v/>
      </c>
      <c r="J103" s="600" t="str">
        <f>IF(基本情報入力シート!W131="", "", 基本情報入力シート!W131)</f>
        <v/>
      </c>
      <c r="K103" s="600"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01" t="s">
        <v>170</v>
      </c>
      <c r="Q103" s="225"/>
      <c r="R103" s="602" t="s">
        <v>253</v>
      </c>
      <c r="S103" s="225"/>
      <c r="T103" s="602" t="s">
        <v>254</v>
      </c>
      <c r="U103" s="225"/>
      <c r="V103" s="602" t="s">
        <v>253</v>
      </c>
      <c r="W103" s="225"/>
      <c r="X103" s="602" t="s">
        <v>255</v>
      </c>
      <c r="Y103" s="602" t="s">
        <v>256</v>
      </c>
      <c r="Z103" s="602" t="str">
        <f t="shared" si="60"/>
        <v/>
      </c>
      <c r="AA103" s="603" t="s">
        <v>257</v>
      </c>
      <c r="AB103" s="604" t="str">
        <f t="shared" si="61"/>
        <v/>
      </c>
      <c r="AC103" s="605" t="str">
        <f>IFERROR(ROUNDDOWN(ROUNDDOWN(ROUND(L103*VLOOKUP(K103,【参考】数式用!$A$2:$M$57,MATCH("処遇改善加算Ⅳ",【参考】数式用!$G$3:$M$3,0)+6,0),0)*M103,0)*Z103*0.5,0), "")</f>
        <v/>
      </c>
      <c r="AD103" s="245"/>
      <c r="AE103" s="246"/>
      <c r="AF103" s="246"/>
      <c r="AG103" s="247"/>
      <c r="AH103" s="248"/>
      <c r="AI103" s="249"/>
      <c r="AJ103" s="250"/>
      <c r="AK103" s="606" t="str">
        <f t="shared" si="47"/>
        <v/>
      </c>
      <c r="AL103" s="607" t="str">
        <f t="shared" si="40"/>
        <v/>
      </c>
      <c r="AM103" s="608"/>
      <c r="AN103" s="609" t="str">
        <f>IFERROR(VLOOKUP(K103,【参考】数式用!$A$2:$N$57,14,FALSE),"")</f>
        <v/>
      </c>
      <c r="AO103" s="609" t="str">
        <f t="shared" si="48"/>
        <v/>
      </c>
      <c r="AP103" s="610" t="str">
        <f t="shared" si="49"/>
        <v/>
      </c>
      <c r="AQ103" s="610" t="str">
        <f t="shared" si="50"/>
        <v>キャリアパス要件Ⅰ・Ⅱ_</v>
      </c>
      <c r="AR103" s="611" t="str">
        <f t="shared" si="51"/>
        <v>入力済</v>
      </c>
      <c r="AS103" s="609" t="str">
        <f t="shared" si="52"/>
        <v/>
      </c>
      <c r="AT103" s="611" t="str">
        <f t="shared" si="53"/>
        <v>入力済</v>
      </c>
      <c r="AU103" s="611" t="str">
        <f t="shared" si="54"/>
        <v/>
      </c>
      <c r="AV103" s="611" t="str">
        <f t="shared" si="55"/>
        <v/>
      </c>
      <c r="AW103" s="609" t="str">
        <f t="shared" si="56"/>
        <v/>
      </c>
      <c r="AX103" s="609" t="str">
        <f t="shared" si="41"/>
        <v>入力済</v>
      </c>
      <c r="AY103" s="611" t="str">
        <f>IFERROR(VLOOKUP(K103,【参考】数式用!$AR$3:$AS$49, 2, FALSE), "")</f>
        <v/>
      </c>
      <c r="AZ103" s="609" t="str">
        <f t="shared" si="57"/>
        <v/>
      </c>
      <c r="BA103" s="612" t="str">
        <f t="shared" si="58"/>
        <v>入力済</v>
      </c>
      <c r="BB103" s="611" t="str">
        <f>IFERROR(VLOOKUP(K103,【参考】数式用!$AX$3:$AY$59, 2, FALSE), "")</f>
        <v/>
      </c>
      <c r="BC103" s="609" t="str">
        <f t="shared" si="42"/>
        <v/>
      </c>
      <c r="BD103" s="612" t="str">
        <f t="shared" si="39"/>
        <v>入力済</v>
      </c>
      <c r="BE103" s="612" t="str">
        <f t="shared" si="43"/>
        <v/>
      </c>
      <c r="BF103" s="612" t="str">
        <f t="shared" si="44"/>
        <v/>
      </c>
      <c r="BG103" s="612" t="str">
        <f t="shared" si="45"/>
        <v/>
      </c>
      <c r="BH103" s="612" t="str">
        <f t="shared" si="46"/>
        <v/>
      </c>
      <c r="BI103" s="612" t="str">
        <f t="shared" si="59"/>
        <v/>
      </c>
    </row>
    <row r="104" spans="1:61" ht="109.9" customHeight="1" thickBot="1">
      <c r="A104" s="599">
        <v>93</v>
      </c>
      <c r="B104" s="913" t="str">
        <f>IF(基本情報入力シート!B132="","",基本情報入力シート!B132)</f>
        <v/>
      </c>
      <c r="C104" s="914"/>
      <c r="D104" s="914"/>
      <c r="E104" s="914"/>
      <c r="F104" s="915"/>
      <c r="G104" s="600" t="str">
        <f>IF(基本情報入力シート!L132="", "", 基本情報入力シート!L132)</f>
        <v/>
      </c>
      <c r="H104" s="600" t="str">
        <f>IF(基本情報入力シート!Q132="", "", 基本情報入力シート!Q132)</f>
        <v/>
      </c>
      <c r="I104" s="600" t="str">
        <f>IF(基本情報入力シート!V132="", "", 基本情報入力シート!V132)</f>
        <v/>
      </c>
      <c r="J104" s="600" t="str">
        <f>IF(基本情報入力シート!W132="", "", 基本情報入力シート!W132)</f>
        <v/>
      </c>
      <c r="K104" s="600"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01" t="s">
        <v>170</v>
      </c>
      <c r="Q104" s="225"/>
      <c r="R104" s="602" t="s">
        <v>253</v>
      </c>
      <c r="S104" s="225"/>
      <c r="T104" s="602" t="s">
        <v>254</v>
      </c>
      <c r="U104" s="225"/>
      <c r="V104" s="602" t="s">
        <v>253</v>
      </c>
      <c r="W104" s="225"/>
      <c r="X104" s="602" t="s">
        <v>255</v>
      </c>
      <c r="Y104" s="602" t="s">
        <v>256</v>
      </c>
      <c r="Z104" s="602" t="str">
        <f t="shared" si="60"/>
        <v/>
      </c>
      <c r="AA104" s="603" t="s">
        <v>257</v>
      </c>
      <c r="AB104" s="604" t="str">
        <f t="shared" si="61"/>
        <v/>
      </c>
      <c r="AC104" s="605" t="str">
        <f>IFERROR(ROUNDDOWN(ROUNDDOWN(ROUND(L104*VLOOKUP(K104,【参考】数式用!$A$2:$M$57,MATCH("処遇改善加算Ⅳ",【参考】数式用!$G$3:$M$3,0)+6,0),0)*M104,0)*Z104*0.5,0), "")</f>
        <v/>
      </c>
      <c r="AD104" s="245"/>
      <c r="AE104" s="246"/>
      <c r="AF104" s="246"/>
      <c r="AG104" s="247"/>
      <c r="AH104" s="248"/>
      <c r="AI104" s="249"/>
      <c r="AJ104" s="250"/>
      <c r="AK104" s="606" t="str">
        <f t="shared" si="47"/>
        <v/>
      </c>
      <c r="AL104" s="607" t="str">
        <f t="shared" si="40"/>
        <v/>
      </c>
      <c r="AM104" s="608"/>
      <c r="AN104" s="609" t="str">
        <f>IFERROR(VLOOKUP(K104,【参考】数式用!$A$2:$N$57,14,FALSE),"")</f>
        <v/>
      </c>
      <c r="AO104" s="609" t="str">
        <f t="shared" si="48"/>
        <v/>
      </c>
      <c r="AP104" s="610" t="str">
        <f t="shared" si="49"/>
        <v/>
      </c>
      <c r="AQ104" s="610" t="str">
        <f t="shared" si="50"/>
        <v>キャリアパス要件Ⅰ・Ⅱ_</v>
      </c>
      <c r="AR104" s="611" t="str">
        <f t="shared" si="51"/>
        <v>入力済</v>
      </c>
      <c r="AS104" s="609" t="str">
        <f t="shared" si="52"/>
        <v/>
      </c>
      <c r="AT104" s="611" t="str">
        <f t="shared" si="53"/>
        <v>入力済</v>
      </c>
      <c r="AU104" s="611" t="str">
        <f t="shared" si="54"/>
        <v/>
      </c>
      <c r="AV104" s="611" t="str">
        <f t="shared" si="55"/>
        <v/>
      </c>
      <c r="AW104" s="609" t="str">
        <f t="shared" si="56"/>
        <v/>
      </c>
      <c r="AX104" s="609" t="str">
        <f t="shared" si="41"/>
        <v>入力済</v>
      </c>
      <c r="AY104" s="611" t="str">
        <f>IFERROR(VLOOKUP(K104,【参考】数式用!$AR$3:$AS$49, 2, FALSE), "")</f>
        <v/>
      </c>
      <c r="AZ104" s="609" t="str">
        <f t="shared" si="57"/>
        <v/>
      </c>
      <c r="BA104" s="612" t="str">
        <f t="shared" si="58"/>
        <v>入力済</v>
      </c>
      <c r="BB104" s="611" t="str">
        <f>IFERROR(VLOOKUP(K104,【参考】数式用!$AX$3:$AY$59, 2, FALSE), "")</f>
        <v/>
      </c>
      <c r="BC104" s="609" t="str">
        <f t="shared" si="42"/>
        <v/>
      </c>
      <c r="BD104" s="612" t="str">
        <f t="shared" si="39"/>
        <v>入力済</v>
      </c>
      <c r="BE104" s="612" t="str">
        <f t="shared" si="43"/>
        <v/>
      </c>
      <c r="BF104" s="612" t="str">
        <f t="shared" si="44"/>
        <v/>
      </c>
      <c r="BG104" s="612" t="str">
        <f t="shared" si="45"/>
        <v/>
      </c>
      <c r="BH104" s="612" t="str">
        <f t="shared" si="46"/>
        <v/>
      </c>
      <c r="BI104" s="612" t="str">
        <f t="shared" si="59"/>
        <v/>
      </c>
    </row>
    <row r="105" spans="1:61" ht="109.9" customHeight="1" thickBot="1">
      <c r="A105" s="599">
        <v>94</v>
      </c>
      <c r="B105" s="913" t="str">
        <f>IF(基本情報入力シート!B133="","",基本情報入力シート!B133)</f>
        <v/>
      </c>
      <c r="C105" s="914"/>
      <c r="D105" s="914"/>
      <c r="E105" s="914"/>
      <c r="F105" s="915"/>
      <c r="G105" s="600" t="str">
        <f>IF(基本情報入力シート!L133="", "", 基本情報入力シート!L133)</f>
        <v/>
      </c>
      <c r="H105" s="600" t="str">
        <f>IF(基本情報入力シート!Q133="", "", 基本情報入力シート!Q133)</f>
        <v/>
      </c>
      <c r="I105" s="600" t="str">
        <f>IF(基本情報入力シート!V133="", "", 基本情報入力シート!V133)</f>
        <v/>
      </c>
      <c r="J105" s="600" t="str">
        <f>IF(基本情報入力シート!W133="", "", 基本情報入力シート!W133)</f>
        <v/>
      </c>
      <c r="K105" s="600"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01" t="s">
        <v>170</v>
      </c>
      <c r="Q105" s="225"/>
      <c r="R105" s="602" t="s">
        <v>253</v>
      </c>
      <c r="S105" s="225"/>
      <c r="T105" s="602" t="s">
        <v>254</v>
      </c>
      <c r="U105" s="225"/>
      <c r="V105" s="602" t="s">
        <v>253</v>
      </c>
      <c r="W105" s="225"/>
      <c r="X105" s="602" t="s">
        <v>255</v>
      </c>
      <c r="Y105" s="602" t="s">
        <v>256</v>
      </c>
      <c r="Z105" s="602" t="str">
        <f t="shared" si="60"/>
        <v/>
      </c>
      <c r="AA105" s="603" t="s">
        <v>257</v>
      </c>
      <c r="AB105" s="604" t="str">
        <f t="shared" si="61"/>
        <v/>
      </c>
      <c r="AC105" s="605" t="str">
        <f>IFERROR(ROUNDDOWN(ROUNDDOWN(ROUND(L105*VLOOKUP(K105,【参考】数式用!$A$2:$M$57,MATCH("処遇改善加算Ⅳ",【参考】数式用!$G$3:$M$3,0)+6,0),0)*M105,0)*Z105*0.5,0), "")</f>
        <v/>
      </c>
      <c r="AD105" s="245"/>
      <c r="AE105" s="246"/>
      <c r="AF105" s="246"/>
      <c r="AG105" s="247"/>
      <c r="AH105" s="248"/>
      <c r="AI105" s="249"/>
      <c r="AJ105" s="250"/>
      <c r="AK105" s="606" t="str">
        <f t="shared" si="47"/>
        <v/>
      </c>
      <c r="AL105" s="607" t="str">
        <f t="shared" si="40"/>
        <v/>
      </c>
      <c r="AM105" s="608"/>
      <c r="AN105" s="609" t="str">
        <f>IFERROR(VLOOKUP(K105,【参考】数式用!$A$2:$N$57,14,FALSE),"")</f>
        <v/>
      </c>
      <c r="AO105" s="609" t="str">
        <f t="shared" si="48"/>
        <v/>
      </c>
      <c r="AP105" s="610" t="str">
        <f t="shared" si="49"/>
        <v/>
      </c>
      <c r="AQ105" s="610" t="str">
        <f t="shared" si="50"/>
        <v>キャリアパス要件Ⅰ・Ⅱ_</v>
      </c>
      <c r="AR105" s="611" t="str">
        <f t="shared" si="51"/>
        <v>入力済</v>
      </c>
      <c r="AS105" s="609" t="str">
        <f t="shared" si="52"/>
        <v/>
      </c>
      <c r="AT105" s="611" t="str">
        <f t="shared" si="53"/>
        <v>入力済</v>
      </c>
      <c r="AU105" s="611" t="str">
        <f t="shared" si="54"/>
        <v/>
      </c>
      <c r="AV105" s="611" t="str">
        <f t="shared" si="55"/>
        <v/>
      </c>
      <c r="AW105" s="609" t="str">
        <f t="shared" si="56"/>
        <v/>
      </c>
      <c r="AX105" s="609" t="str">
        <f t="shared" si="41"/>
        <v>入力済</v>
      </c>
      <c r="AY105" s="611" t="str">
        <f>IFERROR(VLOOKUP(K105,【参考】数式用!$AR$3:$AS$49, 2, FALSE), "")</f>
        <v/>
      </c>
      <c r="AZ105" s="609" t="str">
        <f t="shared" si="57"/>
        <v/>
      </c>
      <c r="BA105" s="612" t="str">
        <f t="shared" si="58"/>
        <v>入力済</v>
      </c>
      <c r="BB105" s="611" t="str">
        <f>IFERROR(VLOOKUP(K105,【参考】数式用!$AX$3:$AY$59, 2, FALSE), "")</f>
        <v/>
      </c>
      <c r="BC105" s="609" t="str">
        <f t="shared" si="42"/>
        <v/>
      </c>
      <c r="BD105" s="612" t="str">
        <f t="shared" si="39"/>
        <v>入力済</v>
      </c>
      <c r="BE105" s="612" t="str">
        <f t="shared" si="43"/>
        <v/>
      </c>
      <c r="BF105" s="612" t="str">
        <f t="shared" si="44"/>
        <v/>
      </c>
      <c r="BG105" s="612" t="str">
        <f t="shared" si="45"/>
        <v/>
      </c>
      <c r="BH105" s="612" t="str">
        <f t="shared" si="46"/>
        <v/>
      </c>
      <c r="BI105" s="612" t="str">
        <f t="shared" si="59"/>
        <v/>
      </c>
    </row>
    <row r="106" spans="1:61" ht="109.9" customHeight="1" thickBot="1">
      <c r="A106" s="599">
        <v>95</v>
      </c>
      <c r="B106" s="913" t="str">
        <f>IF(基本情報入力シート!B134="","",基本情報入力シート!B134)</f>
        <v/>
      </c>
      <c r="C106" s="914"/>
      <c r="D106" s="914"/>
      <c r="E106" s="914"/>
      <c r="F106" s="915"/>
      <c r="G106" s="600" t="str">
        <f>IF(基本情報入力シート!L134="", "", 基本情報入力シート!L134)</f>
        <v/>
      </c>
      <c r="H106" s="600" t="str">
        <f>IF(基本情報入力シート!Q134="", "", 基本情報入力シート!Q134)</f>
        <v/>
      </c>
      <c r="I106" s="600" t="str">
        <f>IF(基本情報入力シート!V134="", "", 基本情報入力シート!V134)</f>
        <v/>
      </c>
      <c r="J106" s="600" t="str">
        <f>IF(基本情報入力シート!W134="", "", 基本情報入力シート!W134)</f>
        <v/>
      </c>
      <c r="K106" s="600"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01" t="s">
        <v>170</v>
      </c>
      <c r="Q106" s="225"/>
      <c r="R106" s="602" t="s">
        <v>253</v>
      </c>
      <c r="S106" s="225"/>
      <c r="T106" s="602" t="s">
        <v>254</v>
      </c>
      <c r="U106" s="225"/>
      <c r="V106" s="602" t="s">
        <v>253</v>
      </c>
      <c r="W106" s="225"/>
      <c r="X106" s="602" t="s">
        <v>172</v>
      </c>
      <c r="Y106" s="602" t="s">
        <v>256</v>
      </c>
      <c r="Z106" s="602" t="str">
        <f t="shared" si="60"/>
        <v/>
      </c>
      <c r="AA106" s="603" t="s">
        <v>257</v>
      </c>
      <c r="AB106" s="604" t="str">
        <f t="shared" si="61"/>
        <v/>
      </c>
      <c r="AC106" s="605" t="str">
        <f>IFERROR(ROUNDDOWN(ROUNDDOWN(ROUND(L106*VLOOKUP(K106,【参考】数式用!$A$2:$M$57,MATCH("処遇改善加算Ⅳ",【参考】数式用!$G$3:$M$3,0)+6,0),0)*M106,0)*Z106*0.5,0), "")</f>
        <v/>
      </c>
      <c r="AD106" s="245"/>
      <c r="AE106" s="246"/>
      <c r="AF106" s="246"/>
      <c r="AG106" s="247"/>
      <c r="AH106" s="248"/>
      <c r="AI106" s="249"/>
      <c r="AJ106" s="250"/>
      <c r="AK106" s="606" t="str">
        <f t="shared" si="47"/>
        <v/>
      </c>
      <c r="AL106" s="607" t="str">
        <f t="shared" si="40"/>
        <v/>
      </c>
      <c r="AM106" s="608"/>
      <c r="AN106" s="609" t="str">
        <f>IFERROR(VLOOKUP(K106,【参考】数式用!$A$2:$N$57,14,FALSE),"")</f>
        <v/>
      </c>
      <c r="AO106" s="609" t="str">
        <f t="shared" si="48"/>
        <v/>
      </c>
      <c r="AP106" s="610" t="str">
        <f t="shared" si="49"/>
        <v/>
      </c>
      <c r="AQ106" s="610" t="str">
        <f t="shared" si="50"/>
        <v>キャリアパス要件Ⅰ・Ⅱ_</v>
      </c>
      <c r="AR106" s="611" t="str">
        <f t="shared" si="51"/>
        <v>入力済</v>
      </c>
      <c r="AS106" s="609" t="str">
        <f t="shared" si="52"/>
        <v/>
      </c>
      <c r="AT106" s="611" t="str">
        <f t="shared" si="53"/>
        <v>入力済</v>
      </c>
      <c r="AU106" s="611" t="str">
        <f t="shared" si="54"/>
        <v/>
      </c>
      <c r="AV106" s="611" t="str">
        <f t="shared" si="55"/>
        <v/>
      </c>
      <c r="AW106" s="609" t="str">
        <f t="shared" si="56"/>
        <v/>
      </c>
      <c r="AX106" s="609" t="str">
        <f t="shared" si="41"/>
        <v>入力済</v>
      </c>
      <c r="AY106" s="611" t="str">
        <f>IFERROR(VLOOKUP(K106,【参考】数式用!$AR$3:$AS$49, 2, FALSE), "")</f>
        <v/>
      </c>
      <c r="AZ106" s="609" t="str">
        <f t="shared" si="57"/>
        <v/>
      </c>
      <c r="BA106" s="612" t="str">
        <f t="shared" si="58"/>
        <v>入力済</v>
      </c>
      <c r="BB106" s="611" t="str">
        <f>IFERROR(VLOOKUP(K106,【参考】数式用!$AX$3:$AY$59, 2, FALSE), "")</f>
        <v/>
      </c>
      <c r="BC106" s="609" t="str">
        <f t="shared" si="42"/>
        <v/>
      </c>
      <c r="BD106" s="612" t="str">
        <f t="shared" si="39"/>
        <v>入力済</v>
      </c>
      <c r="BE106" s="612" t="str">
        <f t="shared" si="43"/>
        <v/>
      </c>
      <c r="BF106" s="612" t="str">
        <f t="shared" si="44"/>
        <v/>
      </c>
      <c r="BG106" s="612" t="str">
        <f t="shared" si="45"/>
        <v/>
      </c>
      <c r="BH106" s="612" t="str">
        <f t="shared" si="46"/>
        <v/>
      </c>
      <c r="BI106" s="612" t="str">
        <f t="shared" si="59"/>
        <v/>
      </c>
    </row>
    <row r="107" spans="1:61" ht="109.9" customHeight="1" thickBot="1">
      <c r="A107" s="599">
        <v>96</v>
      </c>
      <c r="B107" s="913" t="str">
        <f>IF(基本情報入力シート!B135="","",基本情報入力シート!B135)</f>
        <v/>
      </c>
      <c r="C107" s="914"/>
      <c r="D107" s="914"/>
      <c r="E107" s="914"/>
      <c r="F107" s="915"/>
      <c r="G107" s="600" t="str">
        <f>IF(基本情報入力シート!L135="", "", 基本情報入力シート!L135)</f>
        <v/>
      </c>
      <c r="H107" s="600" t="str">
        <f>IF(基本情報入力シート!Q135="", "", 基本情報入力シート!Q135)</f>
        <v/>
      </c>
      <c r="I107" s="600" t="str">
        <f>IF(基本情報入力シート!V135="", "", 基本情報入力シート!V135)</f>
        <v/>
      </c>
      <c r="J107" s="600" t="str">
        <f>IF(基本情報入力シート!W135="", "", 基本情報入力シート!W135)</f>
        <v/>
      </c>
      <c r="K107" s="600"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01" t="s">
        <v>170</v>
      </c>
      <c r="Q107" s="225"/>
      <c r="R107" s="602" t="s">
        <v>253</v>
      </c>
      <c r="S107" s="225"/>
      <c r="T107" s="602" t="s">
        <v>254</v>
      </c>
      <c r="U107" s="225"/>
      <c r="V107" s="602" t="s">
        <v>253</v>
      </c>
      <c r="W107" s="225"/>
      <c r="X107" s="602" t="s">
        <v>172</v>
      </c>
      <c r="Y107" s="602" t="s">
        <v>256</v>
      </c>
      <c r="Z107" s="602" t="str">
        <f t="shared" si="60"/>
        <v/>
      </c>
      <c r="AA107" s="603" t="s">
        <v>257</v>
      </c>
      <c r="AB107" s="604" t="str">
        <f t="shared" si="61"/>
        <v/>
      </c>
      <c r="AC107" s="605" t="str">
        <f>IFERROR(ROUNDDOWN(ROUNDDOWN(ROUND(L107*VLOOKUP(K107,【参考】数式用!$A$2:$M$57,MATCH("処遇改善加算Ⅳ",【参考】数式用!$G$3:$M$3,0)+6,0),0)*M107,0)*Z107*0.5,0), "")</f>
        <v/>
      </c>
      <c r="AD107" s="245"/>
      <c r="AE107" s="246"/>
      <c r="AF107" s="246"/>
      <c r="AG107" s="247"/>
      <c r="AH107" s="248"/>
      <c r="AI107" s="249"/>
      <c r="AJ107" s="250"/>
      <c r="AK107" s="606" t="str">
        <f t="shared" si="47"/>
        <v/>
      </c>
      <c r="AL107" s="607" t="str">
        <f t="shared" si="40"/>
        <v/>
      </c>
      <c r="AM107" s="608"/>
      <c r="AN107" s="609" t="str">
        <f>IFERROR(VLOOKUP(K107,【参考】数式用!$A$2:$N$57,14,FALSE),"")</f>
        <v/>
      </c>
      <c r="AO107" s="609" t="str">
        <f t="shared" si="48"/>
        <v/>
      </c>
      <c r="AP107" s="610" t="str">
        <f t="shared" si="49"/>
        <v/>
      </c>
      <c r="AQ107" s="610" t="str">
        <f t="shared" si="50"/>
        <v>キャリアパス要件Ⅰ・Ⅱ_</v>
      </c>
      <c r="AR107" s="611" t="str">
        <f t="shared" si="51"/>
        <v>入力済</v>
      </c>
      <c r="AS107" s="609" t="str">
        <f t="shared" si="52"/>
        <v/>
      </c>
      <c r="AT107" s="611" t="str">
        <f t="shared" si="53"/>
        <v>入力済</v>
      </c>
      <c r="AU107" s="611" t="str">
        <f t="shared" si="54"/>
        <v/>
      </c>
      <c r="AV107" s="611" t="str">
        <f t="shared" si="55"/>
        <v/>
      </c>
      <c r="AW107" s="609" t="str">
        <f t="shared" si="56"/>
        <v/>
      </c>
      <c r="AX107" s="609" t="str">
        <f t="shared" si="41"/>
        <v>入力済</v>
      </c>
      <c r="AY107" s="611" t="str">
        <f>IFERROR(VLOOKUP(K107,【参考】数式用!$AR$3:$AS$49, 2, FALSE), "")</f>
        <v/>
      </c>
      <c r="AZ107" s="609" t="str">
        <f t="shared" si="57"/>
        <v/>
      </c>
      <c r="BA107" s="612" t="str">
        <f t="shared" si="58"/>
        <v>入力済</v>
      </c>
      <c r="BB107" s="611" t="str">
        <f>IFERROR(VLOOKUP(K107,【参考】数式用!$AX$3:$AY$59, 2, FALSE), "")</f>
        <v/>
      </c>
      <c r="BC107" s="609" t="str">
        <f t="shared" si="42"/>
        <v/>
      </c>
      <c r="BD107" s="612" t="str">
        <f t="shared" si="39"/>
        <v>入力済</v>
      </c>
      <c r="BE107" s="612" t="str">
        <f t="shared" si="43"/>
        <v/>
      </c>
      <c r="BF107" s="612" t="str">
        <f t="shared" si="44"/>
        <v/>
      </c>
      <c r="BG107" s="612" t="str">
        <f t="shared" si="45"/>
        <v/>
      </c>
      <c r="BH107" s="612" t="str">
        <f t="shared" si="46"/>
        <v/>
      </c>
      <c r="BI107" s="612" t="str">
        <f t="shared" si="59"/>
        <v/>
      </c>
    </row>
    <row r="108" spans="1:61" ht="109.9" customHeight="1" thickBot="1">
      <c r="A108" s="599">
        <v>97</v>
      </c>
      <c r="B108" s="913" t="str">
        <f>IF(基本情報入力シート!B136="","",基本情報入力シート!B136)</f>
        <v/>
      </c>
      <c r="C108" s="914"/>
      <c r="D108" s="914"/>
      <c r="E108" s="914"/>
      <c r="F108" s="915"/>
      <c r="G108" s="600" t="str">
        <f>IF(基本情報入力シート!L136="", "", 基本情報入力シート!L136)</f>
        <v/>
      </c>
      <c r="H108" s="600" t="str">
        <f>IF(基本情報入力シート!Q136="", "", 基本情報入力シート!Q136)</f>
        <v/>
      </c>
      <c r="I108" s="600" t="str">
        <f>IF(基本情報入力シート!V136="", "", 基本情報入力シート!V136)</f>
        <v/>
      </c>
      <c r="J108" s="600" t="str">
        <f>IF(基本情報入力シート!W136="", "", 基本情報入力シート!W136)</f>
        <v/>
      </c>
      <c r="K108" s="600"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01" t="s">
        <v>170</v>
      </c>
      <c r="Q108" s="225"/>
      <c r="R108" s="602" t="s">
        <v>253</v>
      </c>
      <c r="S108" s="225"/>
      <c r="T108" s="602" t="s">
        <v>254</v>
      </c>
      <c r="U108" s="225"/>
      <c r="V108" s="602" t="s">
        <v>253</v>
      </c>
      <c r="W108" s="225"/>
      <c r="X108" s="602" t="s">
        <v>255</v>
      </c>
      <c r="Y108" s="602" t="s">
        <v>256</v>
      </c>
      <c r="Z108" s="602" t="str">
        <f t="shared" si="60"/>
        <v/>
      </c>
      <c r="AA108" s="603" t="s">
        <v>257</v>
      </c>
      <c r="AB108" s="604" t="str">
        <f t="shared" si="61"/>
        <v/>
      </c>
      <c r="AC108" s="605" t="str">
        <f>IFERROR(ROUNDDOWN(ROUNDDOWN(ROUND(L108*VLOOKUP(K108,【参考】数式用!$A$2:$M$57,MATCH("処遇改善加算Ⅳ",【参考】数式用!$G$3:$M$3,0)+6,0),0)*M108,0)*Z108*0.5,0), "")</f>
        <v/>
      </c>
      <c r="AD108" s="245"/>
      <c r="AE108" s="246"/>
      <c r="AF108" s="246"/>
      <c r="AG108" s="247"/>
      <c r="AH108" s="248"/>
      <c r="AI108" s="249"/>
      <c r="AJ108" s="250"/>
      <c r="AK108" s="606" t="str">
        <f t="shared" si="47"/>
        <v/>
      </c>
      <c r="AL108" s="607" t="str">
        <f t="shared" si="40"/>
        <v/>
      </c>
      <c r="AM108" s="608"/>
      <c r="AN108" s="609" t="str">
        <f>IFERROR(VLOOKUP(K108,【参考】数式用!$A$2:$N$57,14,FALSE),"")</f>
        <v/>
      </c>
      <c r="AO108" s="609" t="str">
        <f t="shared" si="48"/>
        <v/>
      </c>
      <c r="AP108" s="610" t="str">
        <f t="shared" si="49"/>
        <v/>
      </c>
      <c r="AQ108" s="610" t="str">
        <f t="shared" si="50"/>
        <v>キャリアパス要件Ⅰ・Ⅱ_</v>
      </c>
      <c r="AR108" s="611" t="str">
        <f t="shared" si="51"/>
        <v>入力済</v>
      </c>
      <c r="AS108" s="609" t="str">
        <f t="shared" si="52"/>
        <v/>
      </c>
      <c r="AT108" s="611" t="str">
        <f t="shared" si="53"/>
        <v>入力済</v>
      </c>
      <c r="AU108" s="611" t="str">
        <f t="shared" si="54"/>
        <v/>
      </c>
      <c r="AV108" s="611" t="str">
        <f t="shared" si="55"/>
        <v/>
      </c>
      <c r="AW108" s="609" t="str">
        <f t="shared" si="56"/>
        <v/>
      </c>
      <c r="AX108" s="609" t="str">
        <f t="shared" si="41"/>
        <v>入力済</v>
      </c>
      <c r="AY108" s="611" t="str">
        <f>IFERROR(VLOOKUP(K108,【参考】数式用!$AR$3:$AS$49, 2, FALSE), "")</f>
        <v/>
      </c>
      <c r="AZ108" s="609" t="str">
        <f t="shared" si="57"/>
        <v/>
      </c>
      <c r="BA108" s="612" t="str">
        <f t="shared" si="58"/>
        <v>入力済</v>
      </c>
      <c r="BB108" s="611" t="str">
        <f>IFERROR(VLOOKUP(K108,【参考】数式用!$AX$3:$AY$59, 2, FALSE), "")</f>
        <v/>
      </c>
      <c r="BC108" s="609" t="str">
        <f t="shared" si="42"/>
        <v/>
      </c>
      <c r="BD108" s="612" t="str">
        <f t="shared" si="39"/>
        <v>入力済</v>
      </c>
      <c r="BE108" s="612" t="str">
        <f t="shared" si="43"/>
        <v/>
      </c>
      <c r="BF108" s="612" t="str">
        <f t="shared" si="44"/>
        <v/>
      </c>
      <c r="BG108" s="612" t="str">
        <f t="shared" si="45"/>
        <v/>
      </c>
      <c r="BH108" s="612" t="str">
        <f t="shared" si="46"/>
        <v/>
      </c>
      <c r="BI108" s="612" t="str">
        <f t="shared" si="59"/>
        <v/>
      </c>
    </row>
    <row r="109" spans="1:61" ht="109.9" customHeight="1" thickBot="1">
      <c r="A109" s="599">
        <v>98</v>
      </c>
      <c r="B109" s="913" t="str">
        <f>IF(基本情報入力シート!B137="","",基本情報入力シート!B137)</f>
        <v/>
      </c>
      <c r="C109" s="914"/>
      <c r="D109" s="914"/>
      <c r="E109" s="914"/>
      <c r="F109" s="915"/>
      <c r="G109" s="600" t="str">
        <f>IF(基本情報入力シート!L137="", "", 基本情報入力シート!L137)</f>
        <v/>
      </c>
      <c r="H109" s="600" t="str">
        <f>IF(基本情報入力シート!Q137="", "", 基本情報入力シート!Q137)</f>
        <v/>
      </c>
      <c r="I109" s="600" t="str">
        <f>IF(基本情報入力シート!V137="", "", 基本情報入力シート!V137)</f>
        <v/>
      </c>
      <c r="J109" s="600" t="str">
        <f>IF(基本情報入力シート!W137="", "", 基本情報入力シート!W137)</f>
        <v/>
      </c>
      <c r="K109" s="600"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01" t="s">
        <v>170</v>
      </c>
      <c r="Q109" s="225"/>
      <c r="R109" s="602" t="s">
        <v>253</v>
      </c>
      <c r="S109" s="225"/>
      <c r="T109" s="602" t="s">
        <v>254</v>
      </c>
      <c r="U109" s="225"/>
      <c r="V109" s="602" t="s">
        <v>253</v>
      </c>
      <c r="W109" s="225"/>
      <c r="X109" s="602" t="s">
        <v>255</v>
      </c>
      <c r="Y109" s="602" t="s">
        <v>256</v>
      </c>
      <c r="Z109" s="602" t="str">
        <f t="shared" si="60"/>
        <v/>
      </c>
      <c r="AA109" s="603" t="s">
        <v>257</v>
      </c>
      <c r="AB109" s="604" t="str">
        <f t="shared" si="61"/>
        <v/>
      </c>
      <c r="AC109" s="605" t="str">
        <f>IFERROR(ROUNDDOWN(ROUNDDOWN(ROUND(L109*VLOOKUP(K109,【参考】数式用!$A$2:$M$57,MATCH("処遇改善加算Ⅳ",【参考】数式用!$G$3:$M$3,0)+6,0),0)*M109,0)*Z109*0.5,0), "")</f>
        <v/>
      </c>
      <c r="AD109" s="245"/>
      <c r="AE109" s="246"/>
      <c r="AF109" s="246"/>
      <c r="AG109" s="247"/>
      <c r="AH109" s="248"/>
      <c r="AI109" s="249"/>
      <c r="AJ109" s="250"/>
      <c r="AK109" s="606" t="str">
        <f t="shared" si="47"/>
        <v/>
      </c>
      <c r="AL109" s="607" t="str">
        <f t="shared" si="40"/>
        <v/>
      </c>
      <c r="AM109" s="608"/>
      <c r="AN109" s="609" t="str">
        <f>IFERROR(VLOOKUP(K109,【参考】数式用!$A$2:$N$57,14,FALSE),"")</f>
        <v/>
      </c>
      <c r="AO109" s="609" t="str">
        <f t="shared" si="48"/>
        <v/>
      </c>
      <c r="AP109" s="610" t="str">
        <f t="shared" si="49"/>
        <v/>
      </c>
      <c r="AQ109" s="610" t="str">
        <f t="shared" si="50"/>
        <v>キャリアパス要件Ⅰ・Ⅱ_</v>
      </c>
      <c r="AR109" s="611" t="str">
        <f t="shared" si="51"/>
        <v>入力済</v>
      </c>
      <c r="AS109" s="609" t="str">
        <f t="shared" si="52"/>
        <v/>
      </c>
      <c r="AT109" s="611" t="str">
        <f t="shared" si="53"/>
        <v>入力済</v>
      </c>
      <c r="AU109" s="611" t="str">
        <f t="shared" si="54"/>
        <v/>
      </c>
      <c r="AV109" s="611" t="str">
        <f t="shared" si="55"/>
        <v/>
      </c>
      <c r="AW109" s="609" t="str">
        <f t="shared" si="56"/>
        <v/>
      </c>
      <c r="AX109" s="609" t="str">
        <f t="shared" si="41"/>
        <v>入力済</v>
      </c>
      <c r="AY109" s="611" t="str">
        <f>IFERROR(VLOOKUP(K109,【参考】数式用!$AR$3:$AS$49, 2, FALSE), "")</f>
        <v/>
      </c>
      <c r="AZ109" s="609" t="str">
        <f t="shared" si="57"/>
        <v/>
      </c>
      <c r="BA109" s="612" t="str">
        <f t="shared" si="58"/>
        <v>入力済</v>
      </c>
      <c r="BB109" s="611" t="str">
        <f>IFERROR(VLOOKUP(K109,【参考】数式用!$AX$3:$AY$59, 2, FALSE), "")</f>
        <v/>
      </c>
      <c r="BC109" s="609" t="str">
        <f t="shared" si="42"/>
        <v/>
      </c>
      <c r="BD109" s="612" t="str">
        <f t="shared" si="39"/>
        <v>入力済</v>
      </c>
      <c r="BE109" s="612" t="str">
        <f t="shared" si="43"/>
        <v/>
      </c>
      <c r="BF109" s="612" t="str">
        <f t="shared" si="44"/>
        <v/>
      </c>
      <c r="BG109" s="612" t="str">
        <f t="shared" si="45"/>
        <v/>
      </c>
      <c r="BH109" s="612" t="str">
        <f t="shared" si="46"/>
        <v/>
      </c>
      <c r="BI109" s="612" t="str">
        <f t="shared" si="59"/>
        <v/>
      </c>
    </row>
    <row r="110" spans="1:61" ht="109.9" customHeight="1" thickBot="1">
      <c r="A110" s="599">
        <v>99</v>
      </c>
      <c r="B110" s="913" t="str">
        <f>IF(基本情報入力シート!B138="","",基本情報入力シート!B138)</f>
        <v/>
      </c>
      <c r="C110" s="914"/>
      <c r="D110" s="914"/>
      <c r="E110" s="914"/>
      <c r="F110" s="915"/>
      <c r="G110" s="600" t="str">
        <f>IF(基本情報入力シート!L138="", "", 基本情報入力シート!L138)</f>
        <v/>
      </c>
      <c r="H110" s="600" t="str">
        <f>IF(基本情報入力シート!Q138="", "", 基本情報入力シート!Q138)</f>
        <v/>
      </c>
      <c r="I110" s="600" t="str">
        <f>IF(基本情報入力シート!V138="", "", 基本情報入力シート!V138)</f>
        <v/>
      </c>
      <c r="J110" s="600" t="str">
        <f>IF(基本情報入力シート!W138="", "", 基本情報入力シート!W138)</f>
        <v/>
      </c>
      <c r="K110" s="600"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01" t="s">
        <v>170</v>
      </c>
      <c r="Q110" s="225"/>
      <c r="R110" s="602" t="s">
        <v>253</v>
      </c>
      <c r="S110" s="225"/>
      <c r="T110" s="602" t="s">
        <v>254</v>
      </c>
      <c r="U110" s="225"/>
      <c r="V110" s="602" t="s">
        <v>253</v>
      </c>
      <c r="W110" s="225"/>
      <c r="X110" s="602" t="s">
        <v>255</v>
      </c>
      <c r="Y110" s="602" t="s">
        <v>256</v>
      </c>
      <c r="Z110" s="602" t="str">
        <f t="shared" si="60"/>
        <v/>
      </c>
      <c r="AA110" s="603" t="s">
        <v>257</v>
      </c>
      <c r="AB110" s="604" t="str">
        <f t="shared" si="61"/>
        <v/>
      </c>
      <c r="AC110" s="605" t="str">
        <f>IFERROR(ROUNDDOWN(ROUNDDOWN(ROUND(L110*VLOOKUP(K110,【参考】数式用!$A$2:$M$57,MATCH("処遇改善加算Ⅳ",【参考】数式用!$G$3:$M$3,0)+6,0),0)*M110,0)*Z110*0.5,0), "")</f>
        <v/>
      </c>
      <c r="AD110" s="245"/>
      <c r="AE110" s="246"/>
      <c r="AF110" s="246"/>
      <c r="AG110" s="247"/>
      <c r="AH110" s="248"/>
      <c r="AI110" s="249"/>
      <c r="AJ110" s="250"/>
      <c r="AK110" s="606" t="str">
        <f t="shared" si="47"/>
        <v/>
      </c>
      <c r="AL110" s="607" t="str">
        <f t="shared" si="40"/>
        <v/>
      </c>
      <c r="AM110" s="608"/>
      <c r="AN110" s="609" t="str">
        <f>IFERROR(VLOOKUP(K110,【参考】数式用!$A$2:$N$57,14,FALSE),"")</f>
        <v/>
      </c>
      <c r="AO110" s="609" t="str">
        <f t="shared" si="48"/>
        <v/>
      </c>
      <c r="AP110" s="610" t="str">
        <f t="shared" si="49"/>
        <v/>
      </c>
      <c r="AQ110" s="610" t="str">
        <f t="shared" si="50"/>
        <v>キャリアパス要件Ⅰ・Ⅱ_</v>
      </c>
      <c r="AR110" s="611" t="str">
        <f t="shared" si="51"/>
        <v>入力済</v>
      </c>
      <c r="AS110" s="609" t="str">
        <f t="shared" si="52"/>
        <v/>
      </c>
      <c r="AT110" s="611" t="str">
        <f t="shared" si="53"/>
        <v>入力済</v>
      </c>
      <c r="AU110" s="611" t="str">
        <f t="shared" si="54"/>
        <v/>
      </c>
      <c r="AV110" s="611" t="str">
        <f t="shared" si="55"/>
        <v/>
      </c>
      <c r="AW110" s="609" t="str">
        <f t="shared" si="56"/>
        <v/>
      </c>
      <c r="AX110" s="609" t="str">
        <f t="shared" si="41"/>
        <v>入力済</v>
      </c>
      <c r="AY110" s="611" t="str">
        <f>IFERROR(VLOOKUP(K110,【参考】数式用!$AR$3:$AS$49, 2, FALSE), "")</f>
        <v/>
      </c>
      <c r="AZ110" s="609" t="str">
        <f t="shared" si="57"/>
        <v/>
      </c>
      <c r="BA110" s="612" t="str">
        <f t="shared" si="58"/>
        <v>入力済</v>
      </c>
      <c r="BB110" s="611" t="str">
        <f>IFERROR(VLOOKUP(K110,【参考】数式用!$AX$3:$AY$59, 2, FALSE), "")</f>
        <v/>
      </c>
      <c r="BC110" s="609" t="str">
        <f t="shared" si="42"/>
        <v/>
      </c>
      <c r="BD110" s="612" t="str">
        <f t="shared" si="39"/>
        <v>入力済</v>
      </c>
      <c r="BE110" s="612" t="str">
        <f t="shared" si="43"/>
        <v/>
      </c>
      <c r="BF110" s="612" t="str">
        <f t="shared" si="44"/>
        <v/>
      </c>
      <c r="BG110" s="612" t="str">
        <f t="shared" si="45"/>
        <v/>
      </c>
      <c r="BH110" s="612" t="str">
        <f t="shared" si="46"/>
        <v/>
      </c>
      <c r="BI110" s="612" t="str">
        <f t="shared" si="59"/>
        <v/>
      </c>
    </row>
    <row r="111" spans="1:61" ht="109.9" customHeight="1" thickBot="1">
      <c r="A111" s="599">
        <v>100</v>
      </c>
      <c r="B111" s="960" t="str">
        <f>IF(基本情報入力シート!B139="","",基本情報入力シート!B139)</f>
        <v/>
      </c>
      <c r="C111" s="961"/>
      <c r="D111" s="961"/>
      <c r="E111" s="961"/>
      <c r="F111" s="962"/>
      <c r="G111" s="614" t="str">
        <f>IF(基本情報入力シート!L139="", "", 基本情報入力シート!L139)</f>
        <v/>
      </c>
      <c r="H111" s="614" t="str">
        <f>IF(基本情報入力シート!Q139="", "", 基本情報入力シート!Q139)</f>
        <v/>
      </c>
      <c r="I111" s="614" t="str">
        <f>IF(基本情報入力シート!V139="", "", 基本情報入力シート!V139)</f>
        <v/>
      </c>
      <c r="J111" s="614" t="str">
        <f>IF(基本情報入力シート!W139="", "", 基本情報入力シート!W139)</f>
        <v/>
      </c>
      <c r="K111" s="614"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15" t="s">
        <v>170</v>
      </c>
      <c r="Q111" s="255"/>
      <c r="R111" s="616" t="s">
        <v>253</v>
      </c>
      <c r="S111" s="255"/>
      <c r="T111" s="616" t="s">
        <v>254</v>
      </c>
      <c r="U111" s="255"/>
      <c r="V111" s="616" t="s">
        <v>253</v>
      </c>
      <c r="W111" s="255"/>
      <c r="X111" s="616" t="s">
        <v>172</v>
      </c>
      <c r="Y111" s="616" t="s">
        <v>256</v>
      </c>
      <c r="Z111" s="616" t="str">
        <f t="shared" si="60"/>
        <v/>
      </c>
      <c r="AA111" s="617" t="s">
        <v>257</v>
      </c>
      <c r="AB111" s="618" t="str">
        <f t="shared" si="61"/>
        <v/>
      </c>
      <c r="AC111" s="605" t="str">
        <f>IFERROR(ROUNDDOWN(ROUNDDOWN(ROUND(L111*VLOOKUP(K111,【参考】数式用!$A$2:$M$57,MATCH("処遇改善加算Ⅳ",【参考】数式用!$G$3:$M$3,0)+6,0),0)*M111,0)*Z111*0.5,0), "")</f>
        <v/>
      </c>
      <c r="AD111" s="245"/>
      <c r="AE111" s="246"/>
      <c r="AF111" s="246"/>
      <c r="AG111" s="247"/>
      <c r="AH111" s="248"/>
      <c r="AI111" s="249"/>
      <c r="AJ111" s="250"/>
      <c r="AK111" s="606" t="str">
        <f t="shared" si="47"/>
        <v/>
      </c>
      <c r="AL111" s="607" t="str">
        <f t="shared" si="40"/>
        <v/>
      </c>
      <c r="AM111" s="608"/>
      <c r="AN111" s="609" t="str">
        <f>IFERROR(VLOOKUP(K111,【参考】数式用!$A$2:$N$57,14,FALSE),"")</f>
        <v/>
      </c>
      <c r="AO111" s="609" t="str">
        <f t="shared" si="48"/>
        <v/>
      </c>
      <c r="AP111" s="610" t="str">
        <f t="shared" si="49"/>
        <v/>
      </c>
      <c r="AQ111" s="610" t="str">
        <f t="shared" si="50"/>
        <v>キャリアパス要件Ⅰ・Ⅱ_</v>
      </c>
      <c r="AR111" s="611" t="str">
        <f t="shared" si="51"/>
        <v>入力済</v>
      </c>
      <c r="AS111" s="609" t="str">
        <f t="shared" si="52"/>
        <v/>
      </c>
      <c r="AT111" s="611" t="str">
        <f t="shared" si="53"/>
        <v>入力済</v>
      </c>
      <c r="AU111" s="611" t="str">
        <f t="shared" si="54"/>
        <v/>
      </c>
      <c r="AV111" s="611" t="str">
        <f t="shared" si="55"/>
        <v/>
      </c>
      <c r="AW111" s="609" t="str">
        <f t="shared" si="56"/>
        <v/>
      </c>
      <c r="AX111" s="609" t="str">
        <f t="shared" si="41"/>
        <v>入力済</v>
      </c>
      <c r="AY111" s="611" t="str">
        <f>IFERROR(VLOOKUP(K111,【参考】数式用!$AR$3:$AS$49, 2, FALSE), "")</f>
        <v/>
      </c>
      <c r="AZ111" s="609" t="str">
        <f t="shared" si="57"/>
        <v/>
      </c>
      <c r="BA111" s="612" t="str">
        <f t="shared" si="58"/>
        <v>入力済</v>
      </c>
      <c r="BB111" s="611" t="str">
        <f>IFERROR(VLOOKUP(K111,【参考】数式用!$AX$3:$AY$59, 2, FALSE), "")</f>
        <v/>
      </c>
      <c r="BC111" s="609" t="str">
        <f t="shared" si="42"/>
        <v/>
      </c>
      <c r="BD111" s="612" t="str">
        <f t="shared" si="39"/>
        <v>入力済</v>
      </c>
      <c r="BE111" s="612" t="str">
        <f t="shared" si="43"/>
        <v/>
      </c>
      <c r="BF111" s="612" t="str">
        <f t="shared" si="44"/>
        <v/>
      </c>
      <c r="BG111" s="612" t="str">
        <f t="shared" si="45"/>
        <v/>
      </c>
      <c r="BH111" s="612" t="str">
        <f t="shared" si="46"/>
        <v/>
      </c>
      <c r="BI111" s="612" t="str">
        <f t="shared" si="59"/>
        <v/>
      </c>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90625" defaultRowHeight="13"/>
  <cols>
    <col min="1" max="1" width="7.36328125" style="70" customWidth="1"/>
    <col min="2" max="2" width="19.90625" style="70" customWidth="1"/>
    <col min="3" max="3" width="37.6328125" style="70" customWidth="1"/>
    <col min="4" max="4" width="47.36328125" style="70" customWidth="1"/>
    <col min="5" max="5" width="42.36328125" style="70" customWidth="1"/>
    <col min="6" max="6" width="42.90625" style="70" customWidth="1"/>
    <col min="7" max="7" width="16.36328125" style="70" customWidth="1"/>
    <col min="8" max="8" width="44.6328125" style="70" customWidth="1"/>
    <col min="9" max="9" width="40.36328125" style="70" customWidth="1"/>
    <col min="10" max="10" width="9.90625" style="67"/>
    <col min="11" max="229" width="9.90625" style="61"/>
    <col min="230" max="230" width="8.36328125" style="61" customWidth="1"/>
    <col min="231" max="231" width="14" style="61" customWidth="1"/>
    <col min="232" max="232" width="17.90625" style="61" customWidth="1"/>
    <col min="233" max="233" width="45" style="61" bestFit="1" customWidth="1"/>
    <col min="234" max="234" width="61.6328125" style="61" customWidth="1"/>
    <col min="235" max="235" width="20.36328125" style="61" customWidth="1"/>
    <col min="236" max="236" width="22.90625" style="61" customWidth="1"/>
    <col min="237" max="237" width="25.08984375" style="61" customWidth="1"/>
    <col min="238" max="485" width="9.90625" style="61"/>
    <col min="486" max="486" width="8.36328125" style="61" customWidth="1"/>
    <col min="487" max="487" width="14" style="61" customWidth="1"/>
    <col min="488" max="488" width="17.90625" style="61" customWidth="1"/>
    <col min="489" max="489" width="45" style="61" bestFit="1" customWidth="1"/>
    <col min="490" max="490" width="61.6328125" style="61" customWidth="1"/>
    <col min="491" max="491" width="20.36328125" style="61" customWidth="1"/>
    <col min="492" max="492" width="22.90625" style="61" customWidth="1"/>
    <col min="493" max="493" width="25.08984375" style="61" customWidth="1"/>
    <col min="494" max="741" width="9.90625" style="61"/>
    <col min="742" max="742" width="8.36328125" style="61" customWidth="1"/>
    <col min="743" max="743" width="14" style="61" customWidth="1"/>
    <col min="744" max="744" width="17.90625" style="61" customWidth="1"/>
    <col min="745" max="745" width="45" style="61" bestFit="1" customWidth="1"/>
    <col min="746" max="746" width="61.6328125" style="61" customWidth="1"/>
    <col min="747" max="747" width="20.36328125" style="61" customWidth="1"/>
    <col min="748" max="748" width="22.90625" style="61" customWidth="1"/>
    <col min="749" max="749" width="25.08984375" style="61" customWidth="1"/>
    <col min="750" max="997" width="9.90625" style="61"/>
    <col min="998" max="998" width="8.36328125" style="61" customWidth="1"/>
    <col min="999" max="999" width="14" style="61" customWidth="1"/>
    <col min="1000" max="1000" width="17.90625" style="61" customWidth="1"/>
    <col min="1001" max="1001" width="45" style="61" bestFit="1" customWidth="1"/>
    <col min="1002" max="1002" width="61.6328125" style="61" customWidth="1"/>
    <col min="1003" max="1003" width="20.36328125" style="61" customWidth="1"/>
    <col min="1004" max="1004" width="22.90625" style="61" customWidth="1"/>
    <col min="1005" max="1005" width="25.08984375" style="61" customWidth="1"/>
    <col min="1006" max="1253" width="9.90625" style="61"/>
    <col min="1254" max="1254" width="8.36328125" style="61" customWidth="1"/>
    <col min="1255" max="1255" width="14" style="61" customWidth="1"/>
    <col min="1256" max="1256" width="17.90625" style="61" customWidth="1"/>
    <col min="1257" max="1257" width="45" style="61" bestFit="1" customWidth="1"/>
    <col min="1258" max="1258" width="61.6328125" style="61" customWidth="1"/>
    <col min="1259" max="1259" width="20.36328125" style="61" customWidth="1"/>
    <col min="1260" max="1260" width="22.90625" style="61" customWidth="1"/>
    <col min="1261" max="1261" width="25.08984375" style="61" customWidth="1"/>
    <col min="1262" max="1509" width="9.90625" style="61"/>
    <col min="1510" max="1510" width="8.36328125" style="61" customWidth="1"/>
    <col min="1511" max="1511" width="14" style="61" customWidth="1"/>
    <col min="1512" max="1512" width="17.90625" style="61" customWidth="1"/>
    <col min="1513" max="1513" width="45" style="61" bestFit="1" customWidth="1"/>
    <col min="1514" max="1514" width="61.6328125" style="61" customWidth="1"/>
    <col min="1515" max="1515" width="20.36328125" style="61" customWidth="1"/>
    <col min="1516" max="1516" width="22.90625" style="61" customWidth="1"/>
    <col min="1517" max="1517" width="25.08984375" style="61" customWidth="1"/>
    <col min="1518" max="1765" width="9.90625" style="61"/>
    <col min="1766" max="1766" width="8.36328125" style="61" customWidth="1"/>
    <col min="1767" max="1767" width="14" style="61" customWidth="1"/>
    <col min="1768" max="1768" width="17.90625" style="61" customWidth="1"/>
    <col min="1769" max="1769" width="45" style="61" bestFit="1" customWidth="1"/>
    <col min="1770" max="1770" width="61.6328125" style="61" customWidth="1"/>
    <col min="1771" max="1771" width="20.36328125" style="61" customWidth="1"/>
    <col min="1772" max="1772" width="22.90625" style="61" customWidth="1"/>
    <col min="1773" max="1773" width="25.08984375" style="61" customWidth="1"/>
    <col min="1774" max="2021" width="9.90625" style="61"/>
    <col min="2022" max="2022" width="8.36328125" style="61" customWidth="1"/>
    <col min="2023" max="2023" width="14" style="61" customWidth="1"/>
    <col min="2024" max="2024" width="17.90625" style="61" customWidth="1"/>
    <col min="2025" max="2025" width="45" style="61" bestFit="1" customWidth="1"/>
    <col min="2026" max="2026" width="61.6328125" style="61" customWidth="1"/>
    <col min="2027" max="2027" width="20.36328125" style="61" customWidth="1"/>
    <col min="2028" max="2028" width="22.90625" style="61" customWidth="1"/>
    <col min="2029" max="2029" width="25.08984375" style="61" customWidth="1"/>
    <col min="2030" max="2277" width="9.90625" style="61"/>
    <col min="2278" max="2278" width="8.36328125" style="61" customWidth="1"/>
    <col min="2279" max="2279" width="14" style="61" customWidth="1"/>
    <col min="2280" max="2280" width="17.90625" style="61" customWidth="1"/>
    <col min="2281" max="2281" width="45" style="61" bestFit="1" customWidth="1"/>
    <col min="2282" max="2282" width="61.6328125" style="61" customWidth="1"/>
    <col min="2283" max="2283" width="20.36328125" style="61" customWidth="1"/>
    <col min="2284" max="2284" width="22.90625" style="61" customWidth="1"/>
    <col min="2285" max="2285" width="25.08984375" style="61" customWidth="1"/>
    <col min="2286" max="2533" width="9.90625" style="61"/>
    <col min="2534" max="2534" width="8.36328125" style="61" customWidth="1"/>
    <col min="2535" max="2535" width="14" style="61" customWidth="1"/>
    <col min="2536" max="2536" width="17.90625" style="61" customWidth="1"/>
    <col min="2537" max="2537" width="45" style="61" bestFit="1" customWidth="1"/>
    <col min="2538" max="2538" width="61.6328125" style="61" customWidth="1"/>
    <col min="2539" max="2539" width="20.36328125" style="61" customWidth="1"/>
    <col min="2540" max="2540" width="22.90625" style="61" customWidth="1"/>
    <col min="2541" max="2541" width="25.08984375" style="61" customWidth="1"/>
    <col min="2542" max="2789" width="9.90625" style="61"/>
    <col min="2790" max="2790" width="8.36328125" style="61" customWidth="1"/>
    <col min="2791" max="2791" width="14" style="61" customWidth="1"/>
    <col min="2792" max="2792" width="17.90625" style="61" customWidth="1"/>
    <col min="2793" max="2793" width="45" style="61" bestFit="1" customWidth="1"/>
    <col min="2794" max="2794" width="61.6328125" style="61" customWidth="1"/>
    <col min="2795" max="2795" width="20.36328125" style="61" customWidth="1"/>
    <col min="2796" max="2796" width="22.90625" style="61" customWidth="1"/>
    <col min="2797" max="2797" width="25.08984375" style="61" customWidth="1"/>
    <col min="2798" max="3045" width="9.90625" style="61"/>
    <col min="3046" max="3046" width="8.36328125" style="61" customWidth="1"/>
    <col min="3047" max="3047" width="14" style="61" customWidth="1"/>
    <col min="3048" max="3048" width="17.90625" style="61" customWidth="1"/>
    <col min="3049" max="3049" width="45" style="61" bestFit="1" customWidth="1"/>
    <col min="3050" max="3050" width="61.6328125" style="61" customWidth="1"/>
    <col min="3051" max="3051" width="20.36328125" style="61" customWidth="1"/>
    <col min="3052" max="3052" width="22.90625" style="61" customWidth="1"/>
    <col min="3053" max="3053" width="25.08984375" style="61" customWidth="1"/>
    <col min="3054" max="3301" width="9.90625" style="61"/>
    <col min="3302" max="3302" width="8.36328125" style="61" customWidth="1"/>
    <col min="3303" max="3303" width="14" style="61" customWidth="1"/>
    <col min="3304" max="3304" width="17.90625" style="61" customWidth="1"/>
    <col min="3305" max="3305" width="45" style="61" bestFit="1" customWidth="1"/>
    <col min="3306" max="3306" width="61.6328125" style="61" customWidth="1"/>
    <col min="3307" max="3307" width="20.36328125" style="61" customWidth="1"/>
    <col min="3308" max="3308" width="22.90625" style="61" customWidth="1"/>
    <col min="3309" max="3309" width="25.08984375" style="61" customWidth="1"/>
    <col min="3310" max="3557" width="9.90625" style="61"/>
    <col min="3558" max="3558" width="8.36328125" style="61" customWidth="1"/>
    <col min="3559" max="3559" width="14" style="61" customWidth="1"/>
    <col min="3560" max="3560" width="17.90625" style="61" customWidth="1"/>
    <col min="3561" max="3561" width="45" style="61" bestFit="1" customWidth="1"/>
    <col min="3562" max="3562" width="61.6328125" style="61" customWidth="1"/>
    <col min="3563" max="3563" width="20.36328125" style="61" customWidth="1"/>
    <col min="3564" max="3564" width="22.90625" style="61" customWidth="1"/>
    <col min="3565" max="3565" width="25.08984375" style="61" customWidth="1"/>
    <col min="3566" max="3813" width="9.90625" style="61"/>
    <col min="3814" max="3814" width="8.36328125" style="61" customWidth="1"/>
    <col min="3815" max="3815" width="14" style="61" customWidth="1"/>
    <col min="3816" max="3816" width="17.90625" style="61" customWidth="1"/>
    <col min="3817" max="3817" width="45" style="61" bestFit="1" customWidth="1"/>
    <col min="3818" max="3818" width="61.6328125" style="61" customWidth="1"/>
    <col min="3819" max="3819" width="20.36328125" style="61" customWidth="1"/>
    <col min="3820" max="3820" width="22.90625" style="61" customWidth="1"/>
    <col min="3821" max="3821" width="25.08984375" style="61" customWidth="1"/>
    <col min="3822" max="4069" width="9.90625" style="61"/>
    <col min="4070" max="4070" width="8.36328125" style="61" customWidth="1"/>
    <col min="4071" max="4071" width="14" style="61" customWidth="1"/>
    <col min="4072" max="4072" width="17.90625" style="61" customWidth="1"/>
    <col min="4073" max="4073" width="45" style="61" bestFit="1" customWidth="1"/>
    <col min="4074" max="4074" width="61.6328125" style="61" customWidth="1"/>
    <col min="4075" max="4075" width="20.36328125" style="61" customWidth="1"/>
    <col min="4076" max="4076" width="22.90625" style="61" customWidth="1"/>
    <col min="4077" max="4077" width="25.08984375" style="61" customWidth="1"/>
    <col min="4078" max="4325" width="9.90625" style="61"/>
    <col min="4326" max="4326" width="8.36328125" style="61" customWidth="1"/>
    <col min="4327" max="4327" width="14" style="61" customWidth="1"/>
    <col min="4328" max="4328" width="17.90625" style="61" customWidth="1"/>
    <col min="4329" max="4329" width="45" style="61" bestFit="1" customWidth="1"/>
    <col min="4330" max="4330" width="61.6328125" style="61" customWidth="1"/>
    <col min="4331" max="4331" width="20.36328125" style="61" customWidth="1"/>
    <col min="4332" max="4332" width="22.90625" style="61" customWidth="1"/>
    <col min="4333" max="4333" width="25.08984375" style="61" customWidth="1"/>
    <col min="4334" max="4581" width="9.90625" style="61"/>
    <col min="4582" max="4582" width="8.36328125" style="61" customWidth="1"/>
    <col min="4583" max="4583" width="14" style="61" customWidth="1"/>
    <col min="4584" max="4584" width="17.90625" style="61" customWidth="1"/>
    <col min="4585" max="4585" width="45" style="61" bestFit="1" customWidth="1"/>
    <col min="4586" max="4586" width="61.6328125" style="61" customWidth="1"/>
    <col min="4587" max="4587" width="20.36328125" style="61" customWidth="1"/>
    <col min="4588" max="4588" width="22.90625" style="61" customWidth="1"/>
    <col min="4589" max="4589" width="25.08984375" style="61" customWidth="1"/>
    <col min="4590" max="4837" width="9.90625" style="61"/>
    <col min="4838" max="4838" width="8.36328125" style="61" customWidth="1"/>
    <col min="4839" max="4839" width="14" style="61" customWidth="1"/>
    <col min="4840" max="4840" width="17.90625" style="61" customWidth="1"/>
    <col min="4841" max="4841" width="45" style="61" bestFit="1" customWidth="1"/>
    <col min="4842" max="4842" width="61.6328125" style="61" customWidth="1"/>
    <col min="4843" max="4843" width="20.36328125" style="61" customWidth="1"/>
    <col min="4844" max="4844" width="22.90625" style="61" customWidth="1"/>
    <col min="4845" max="4845" width="25.08984375" style="61" customWidth="1"/>
    <col min="4846" max="5093" width="9.90625" style="61"/>
    <col min="5094" max="5094" width="8.36328125" style="61" customWidth="1"/>
    <col min="5095" max="5095" width="14" style="61" customWidth="1"/>
    <col min="5096" max="5096" width="17.90625" style="61" customWidth="1"/>
    <col min="5097" max="5097" width="45" style="61" bestFit="1" customWidth="1"/>
    <col min="5098" max="5098" width="61.6328125" style="61" customWidth="1"/>
    <col min="5099" max="5099" width="20.36328125" style="61" customWidth="1"/>
    <col min="5100" max="5100" width="22.90625" style="61" customWidth="1"/>
    <col min="5101" max="5101" width="25.08984375" style="61" customWidth="1"/>
    <col min="5102" max="5349" width="9.90625" style="61"/>
    <col min="5350" max="5350" width="8.36328125" style="61" customWidth="1"/>
    <col min="5351" max="5351" width="14" style="61" customWidth="1"/>
    <col min="5352" max="5352" width="17.90625" style="61" customWidth="1"/>
    <col min="5353" max="5353" width="45" style="61" bestFit="1" customWidth="1"/>
    <col min="5354" max="5354" width="61.6328125" style="61" customWidth="1"/>
    <col min="5355" max="5355" width="20.36328125" style="61" customWidth="1"/>
    <col min="5356" max="5356" width="22.90625" style="61" customWidth="1"/>
    <col min="5357" max="5357" width="25.08984375" style="61" customWidth="1"/>
    <col min="5358" max="5605" width="9.90625" style="61"/>
    <col min="5606" max="5606" width="8.36328125" style="61" customWidth="1"/>
    <col min="5607" max="5607" width="14" style="61" customWidth="1"/>
    <col min="5608" max="5608" width="17.90625" style="61" customWidth="1"/>
    <col min="5609" max="5609" width="45" style="61" bestFit="1" customWidth="1"/>
    <col min="5610" max="5610" width="61.6328125" style="61" customWidth="1"/>
    <col min="5611" max="5611" width="20.36328125" style="61" customWidth="1"/>
    <col min="5612" max="5612" width="22.90625" style="61" customWidth="1"/>
    <col min="5613" max="5613" width="25.08984375" style="61" customWidth="1"/>
    <col min="5614" max="5861" width="9.90625" style="61"/>
    <col min="5862" max="5862" width="8.36328125" style="61" customWidth="1"/>
    <col min="5863" max="5863" width="14" style="61" customWidth="1"/>
    <col min="5864" max="5864" width="17.90625" style="61" customWidth="1"/>
    <col min="5865" max="5865" width="45" style="61" bestFit="1" customWidth="1"/>
    <col min="5866" max="5866" width="61.6328125" style="61" customWidth="1"/>
    <col min="5867" max="5867" width="20.36328125" style="61" customWidth="1"/>
    <col min="5868" max="5868" width="22.90625" style="61" customWidth="1"/>
    <col min="5869" max="5869" width="25.08984375" style="61" customWidth="1"/>
    <col min="5870" max="6117" width="9.90625" style="61"/>
    <col min="6118" max="6118" width="8.36328125" style="61" customWidth="1"/>
    <col min="6119" max="6119" width="14" style="61" customWidth="1"/>
    <col min="6120" max="6120" width="17.90625" style="61" customWidth="1"/>
    <col min="6121" max="6121" width="45" style="61" bestFit="1" customWidth="1"/>
    <col min="6122" max="6122" width="61.6328125" style="61" customWidth="1"/>
    <col min="6123" max="6123" width="20.36328125" style="61" customWidth="1"/>
    <col min="6124" max="6124" width="22.90625" style="61" customWidth="1"/>
    <col min="6125" max="6125" width="25.08984375" style="61" customWidth="1"/>
    <col min="6126" max="6373" width="9.90625" style="61"/>
    <col min="6374" max="6374" width="8.36328125" style="61" customWidth="1"/>
    <col min="6375" max="6375" width="14" style="61" customWidth="1"/>
    <col min="6376" max="6376" width="17.90625" style="61" customWidth="1"/>
    <col min="6377" max="6377" width="45" style="61" bestFit="1" customWidth="1"/>
    <col min="6378" max="6378" width="61.6328125" style="61" customWidth="1"/>
    <col min="6379" max="6379" width="20.36328125" style="61" customWidth="1"/>
    <col min="6380" max="6380" width="22.90625" style="61" customWidth="1"/>
    <col min="6381" max="6381" width="25.08984375" style="61" customWidth="1"/>
    <col min="6382" max="6629" width="9.90625" style="61"/>
    <col min="6630" max="6630" width="8.36328125" style="61" customWidth="1"/>
    <col min="6631" max="6631" width="14" style="61" customWidth="1"/>
    <col min="6632" max="6632" width="17.90625" style="61" customWidth="1"/>
    <col min="6633" max="6633" width="45" style="61" bestFit="1" customWidth="1"/>
    <col min="6634" max="6634" width="61.6328125" style="61" customWidth="1"/>
    <col min="6635" max="6635" width="20.36328125" style="61" customWidth="1"/>
    <col min="6636" max="6636" width="22.90625" style="61" customWidth="1"/>
    <col min="6637" max="6637" width="25.08984375" style="61" customWidth="1"/>
    <col min="6638" max="6885" width="9.90625" style="61"/>
    <col min="6886" max="6886" width="8.36328125" style="61" customWidth="1"/>
    <col min="6887" max="6887" width="14" style="61" customWidth="1"/>
    <col min="6888" max="6888" width="17.90625" style="61" customWidth="1"/>
    <col min="6889" max="6889" width="45" style="61" bestFit="1" customWidth="1"/>
    <col min="6890" max="6890" width="61.6328125" style="61" customWidth="1"/>
    <col min="6891" max="6891" width="20.36328125" style="61" customWidth="1"/>
    <col min="6892" max="6892" width="22.90625" style="61" customWidth="1"/>
    <col min="6893" max="6893" width="25.08984375" style="61" customWidth="1"/>
    <col min="6894" max="7141" width="9.90625" style="61"/>
    <col min="7142" max="7142" width="8.36328125" style="61" customWidth="1"/>
    <col min="7143" max="7143" width="14" style="61" customWidth="1"/>
    <col min="7144" max="7144" width="17.90625" style="61" customWidth="1"/>
    <col min="7145" max="7145" width="45" style="61" bestFit="1" customWidth="1"/>
    <col min="7146" max="7146" width="61.6328125" style="61" customWidth="1"/>
    <col min="7147" max="7147" width="20.36328125" style="61" customWidth="1"/>
    <col min="7148" max="7148" width="22.90625" style="61" customWidth="1"/>
    <col min="7149" max="7149" width="25.08984375" style="61" customWidth="1"/>
    <col min="7150" max="7397" width="9.90625" style="61"/>
    <col min="7398" max="7398" width="8.36328125" style="61" customWidth="1"/>
    <col min="7399" max="7399" width="14" style="61" customWidth="1"/>
    <col min="7400" max="7400" width="17.90625" style="61" customWidth="1"/>
    <col min="7401" max="7401" width="45" style="61" bestFit="1" customWidth="1"/>
    <col min="7402" max="7402" width="61.6328125" style="61" customWidth="1"/>
    <col min="7403" max="7403" width="20.36328125" style="61" customWidth="1"/>
    <col min="7404" max="7404" width="22.90625" style="61" customWidth="1"/>
    <col min="7405" max="7405" width="25.08984375" style="61" customWidth="1"/>
    <col min="7406" max="7653" width="9.90625" style="61"/>
    <col min="7654" max="7654" width="8.36328125" style="61" customWidth="1"/>
    <col min="7655" max="7655" width="14" style="61" customWidth="1"/>
    <col min="7656" max="7656" width="17.90625" style="61" customWidth="1"/>
    <col min="7657" max="7657" width="45" style="61" bestFit="1" customWidth="1"/>
    <col min="7658" max="7658" width="61.6328125" style="61" customWidth="1"/>
    <col min="7659" max="7659" width="20.36328125" style="61" customWidth="1"/>
    <col min="7660" max="7660" width="22.90625" style="61" customWidth="1"/>
    <col min="7661" max="7661" width="25.08984375" style="61" customWidth="1"/>
    <col min="7662" max="7909" width="9.90625" style="61"/>
    <col min="7910" max="7910" width="8.36328125" style="61" customWidth="1"/>
    <col min="7911" max="7911" width="14" style="61" customWidth="1"/>
    <col min="7912" max="7912" width="17.90625" style="61" customWidth="1"/>
    <col min="7913" max="7913" width="45" style="61" bestFit="1" customWidth="1"/>
    <col min="7914" max="7914" width="61.6328125" style="61" customWidth="1"/>
    <col min="7915" max="7915" width="20.36328125" style="61" customWidth="1"/>
    <col min="7916" max="7916" width="22.90625" style="61" customWidth="1"/>
    <col min="7917" max="7917" width="25.08984375" style="61" customWidth="1"/>
    <col min="7918" max="8165" width="9.90625" style="61"/>
    <col min="8166" max="8166" width="8.36328125" style="61" customWidth="1"/>
    <col min="8167" max="8167" width="14" style="61" customWidth="1"/>
    <col min="8168" max="8168" width="17.90625" style="61" customWidth="1"/>
    <col min="8169" max="8169" width="45" style="61" bestFit="1" customWidth="1"/>
    <col min="8170" max="8170" width="61.6328125" style="61" customWidth="1"/>
    <col min="8171" max="8171" width="20.36328125" style="61" customWidth="1"/>
    <col min="8172" max="8172" width="22.90625" style="61" customWidth="1"/>
    <col min="8173" max="8173" width="25.08984375" style="61" customWidth="1"/>
    <col min="8174" max="8421" width="9.90625" style="61"/>
    <col min="8422" max="8422" width="8.36328125" style="61" customWidth="1"/>
    <col min="8423" max="8423" width="14" style="61" customWidth="1"/>
    <col min="8424" max="8424" width="17.90625" style="61" customWidth="1"/>
    <col min="8425" max="8425" width="45" style="61" bestFit="1" customWidth="1"/>
    <col min="8426" max="8426" width="61.6328125" style="61" customWidth="1"/>
    <col min="8427" max="8427" width="20.36328125" style="61" customWidth="1"/>
    <col min="8428" max="8428" width="22.90625" style="61" customWidth="1"/>
    <col min="8429" max="8429" width="25.08984375" style="61" customWidth="1"/>
    <col min="8430" max="8677" width="9.90625" style="61"/>
    <col min="8678" max="8678" width="8.36328125" style="61" customWidth="1"/>
    <col min="8679" max="8679" width="14" style="61" customWidth="1"/>
    <col min="8680" max="8680" width="17.90625" style="61" customWidth="1"/>
    <col min="8681" max="8681" width="45" style="61" bestFit="1" customWidth="1"/>
    <col min="8682" max="8682" width="61.6328125" style="61" customWidth="1"/>
    <col min="8683" max="8683" width="20.36328125" style="61" customWidth="1"/>
    <col min="8684" max="8684" width="22.90625" style="61" customWidth="1"/>
    <col min="8685" max="8685" width="25.08984375" style="61" customWidth="1"/>
    <col min="8686" max="8933" width="9.90625" style="61"/>
    <col min="8934" max="8934" width="8.36328125" style="61" customWidth="1"/>
    <col min="8935" max="8935" width="14" style="61" customWidth="1"/>
    <col min="8936" max="8936" width="17.90625" style="61" customWidth="1"/>
    <col min="8937" max="8937" width="45" style="61" bestFit="1" customWidth="1"/>
    <col min="8938" max="8938" width="61.6328125" style="61" customWidth="1"/>
    <col min="8939" max="8939" width="20.36328125" style="61" customWidth="1"/>
    <col min="8940" max="8940" width="22.90625" style="61" customWidth="1"/>
    <col min="8941" max="8941" width="25.08984375" style="61" customWidth="1"/>
    <col min="8942" max="9189" width="9.90625" style="61"/>
    <col min="9190" max="9190" width="8.36328125" style="61" customWidth="1"/>
    <col min="9191" max="9191" width="14" style="61" customWidth="1"/>
    <col min="9192" max="9192" width="17.90625" style="61" customWidth="1"/>
    <col min="9193" max="9193" width="45" style="61" bestFit="1" customWidth="1"/>
    <col min="9194" max="9194" width="61.6328125" style="61" customWidth="1"/>
    <col min="9195" max="9195" width="20.36328125" style="61" customWidth="1"/>
    <col min="9196" max="9196" width="22.90625" style="61" customWidth="1"/>
    <col min="9197" max="9197" width="25.08984375" style="61" customWidth="1"/>
    <col min="9198" max="9445" width="9.90625" style="61"/>
    <col min="9446" max="9446" width="8.36328125" style="61" customWidth="1"/>
    <col min="9447" max="9447" width="14" style="61" customWidth="1"/>
    <col min="9448" max="9448" width="17.90625" style="61" customWidth="1"/>
    <col min="9449" max="9449" width="45" style="61" bestFit="1" customWidth="1"/>
    <col min="9450" max="9450" width="61.6328125" style="61" customWidth="1"/>
    <col min="9451" max="9451" width="20.36328125" style="61" customWidth="1"/>
    <col min="9452" max="9452" width="22.90625" style="61" customWidth="1"/>
    <col min="9453" max="9453" width="25.08984375" style="61" customWidth="1"/>
    <col min="9454" max="9701" width="9.90625" style="61"/>
    <col min="9702" max="9702" width="8.36328125" style="61" customWidth="1"/>
    <col min="9703" max="9703" width="14" style="61" customWidth="1"/>
    <col min="9704" max="9704" width="17.90625" style="61" customWidth="1"/>
    <col min="9705" max="9705" width="45" style="61" bestFit="1" customWidth="1"/>
    <col min="9706" max="9706" width="61.6328125" style="61" customWidth="1"/>
    <col min="9707" max="9707" width="20.36328125" style="61" customWidth="1"/>
    <col min="9708" max="9708" width="22.90625" style="61" customWidth="1"/>
    <col min="9709" max="9709" width="25.08984375" style="61" customWidth="1"/>
    <col min="9710" max="9957" width="9.90625" style="61"/>
    <col min="9958" max="9958" width="8.36328125" style="61" customWidth="1"/>
    <col min="9959" max="9959" width="14" style="61" customWidth="1"/>
    <col min="9960" max="9960" width="17.90625" style="61" customWidth="1"/>
    <col min="9961" max="9961" width="45" style="61" bestFit="1" customWidth="1"/>
    <col min="9962" max="9962" width="61.6328125" style="61" customWidth="1"/>
    <col min="9963" max="9963" width="20.36328125" style="61" customWidth="1"/>
    <col min="9964" max="9964" width="22.90625" style="61" customWidth="1"/>
    <col min="9965" max="9965" width="25.08984375" style="61" customWidth="1"/>
    <col min="9966" max="10213" width="9.90625" style="61"/>
    <col min="10214" max="10214" width="8.36328125" style="61" customWidth="1"/>
    <col min="10215" max="10215" width="14" style="61" customWidth="1"/>
    <col min="10216" max="10216" width="17.90625" style="61" customWidth="1"/>
    <col min="10217" max="10217" width="45" style="61" bestFit="1" customWidth="1"/>
    <col min="10218" max="10218" width="61.6328125" style="61" customWidth="1"/>
    <col min="10219" max="10219" width="20.36328125" style="61" customWidth="1"/>
    <col min="10220" max="10220" width="22.90625" style="61" customWidth="1"/>
    <col min="10221" max="10221" width="25.08984375" style="61" customWidth="1"/>
    <col min="10222" max="10469" width="9.90625" style="61"/>
    <col min="10470" max="10470" width="8.36328125" style="61" customWidth="1"/>
    <col min="10471" max="10471" width="14" style="61" customWidth="1"/>
    <col min="10472" max="10472" width="17.90625" style="61" customWidth="1"/>
    <col min="10473" max="10473" width="45" style="61" bestFit="1" customWidth="1"/>
    <col min="10474" max="10474" width="61.6328125" style="61" customWidth="1"/>
    <col min="10475" max="10475" width="20.36328125" style="61" customWidth="1"/>
    <col min="10476" max="10476" width="22.90625" style="61" customWidth="1"/>
    <col min="10477" max="10477" width="25.08984375" style="61" customWidth="1"/>
    <col min="10478" max="10725" width="9.90625" style="61"/>
    <col min="10726" max="10726" width="8.36328125" style="61" customWidth="1"/>
    <col min="10727" max="10727" width="14" style="61" customWidth="1"/>
    <col min="10728" max="10728" width="17.90625" style="61" customWidth="1"/>
    <col min="10729" max="10729" width="45" style="61" bestFit="1" customWidth="1"/>
    <col min="10730" max="10730" width="61.6328125" style="61" customWidth="1"/>
    <col min="10731" max="10731" width="20.36328125" style="61" customWidth="1"/>
    <col min="10732" max="10732" width="22.90625" style="61" customWidth="1"/>
    <col min="10733" max="10733" width="25.08984375" style="61" customWidth="1"/>
    <col min="10734" max="10981" width="9.90625" style="61"/>
    <col min="10982" max="10982" width="8.36328125" style="61" customWidth="1"/>
    <col min="10983" max="10983" width="14" style="61" customWidth="1"/>
    <col min="10984" max="10984" width="17.90625" style="61" customWidth="1"/>
    <col min="10985" max="10985" width="45" style="61" bestFit="1" customWidth="1"/>
    <col min="10986" max="10986" width="61.6328125" style="61" customWidth="1"/>
    <col min="10987" max="10987" width="20.36328125" style="61" customWidth="1"/>
    <col min="10988" max="10988" width="22.90625" style="61" customWidth="1"/>
    <col min="10989" max="10989" width="25.08984375" style="61" customWidth="1"/>
    <col min="10990" max="11237" width="9.90625" style="61"/>
    <col min="11238" max="11238" width="8.36328125" style="61" customWidth="1"/>
    <col min="11239" max="11239" width="14" style="61" customWidth="1"/>
    <col min="11240" max="11240" width="17.90625" style="61" customWidth="1"/>
    <col min="11241" max="11241" width="45" style="61" bestFit="1" customWidth="1"/>
    <col min="11242" max="11242" width="61.6328125" style="61" customWidth="1"/>
    <col min="11243" max="11243" width="20.36328125" style="61" customWidth="1"/>
    <col min="11244" max="11244" width="22.90625" style="61" customWidth="1"/>
    <col min="11245" max="11245" width="25.08984375" style="61" customWidth="1"/>
    <col min="11246" max="11493" width="9.90625" style="61"/>
    <col min="11494" max="11494" width="8.36328125" style="61" customWidth="1"/>
    <col min="11495" max="11495" width="14" style="61" customWidth="1"/>
    <col min="11496" max="11496" width="17.90625" style="61" customWidth="1"/>
    <col min="11497" max="11497" width="45" style="61" bestFit="1" customWidth="1"/>
    <col min="11498" max="11498" width="61.6328125" style="61" customWidth="1"/>
    <col min="11499" max="11499" width="20.36328125" style="61" customWidth="1"/>
    <col min="11500" max="11500" width="22.90625" style="61" customWidth="1"/>
    <col min="11501" max="11501" width="25.08984375" style="61" customWidth="1"/>
    <col min="11502" max="11749" width="9.90625" style="61"/>
    <col min="11750" max="11750" width="8.36328125" style="61" customWidth="1"/>
    <col min="11751" max="11751" width="14" style="61" customWidth="1"/>
    <col min="11752" max="11752" width="17.90625" style="61" customWidth="1"/>
    <col min="11753" max="11753" width="45" style="61" bestFit="1" customWidth="1"/>
    <col min="11754" max="11754" width="61.6328125" style="61" customWidth="1"/>
    <col min="11755" max="11755" width="20.36328125" style="61" customWidth="1"/>
    <col min="11756" max="11756" width="22.90625" style="61" customWidth="1"/>
    <col min="11757" max="11757" width="25.08984375" style="61" customWidth="1"/>
    <col min="11758" max="12005" width="9.90625" style="61"/>
    <col min="12006" max="12006" width="8.36328125" style="61" customWidth="1"/>
    <col min="12007" max="12007" width="14" style="61" customWidth="1"/>
    <col min="12008" max="12008" width="17.90625" style="61" customWidth="1"/>
    <col min="12009" max="12009" width="45" style="61" bestFit="1" customWidth="1"/>
    <col min="12010" max="12010" width="61.6328125" style="61" customWidth="1"/>
    <col min="12011" max="12011" width="20.36328125" style="61" customWidth="1"/>
    <col min="12012" max="12012" width="22.90625" style="61" customWidth="1"/>
    <col min="12013" max="12013" width="25.08984375" style="61" customWidth="1"/>
    <col min="12014" max="12261" width="9.90625" style="61"/>
    <col min="12262" max="12262" width="8.36328125" style="61" customWidth="1"/>
    <col min="12263" max="12263" width="14" style="61" customWidth="1"/>
    <col min="12264" max="12264" width="17.90625" style="61" customWidth="1"/>
    <col min="12265" max="12265" width="45" style="61" bestFit="1" customWidth="1"/>
    <col min="12266" max="12266" width="61.6328125" style="61" customWidth="1"/>
    <col min="12267" max="12267" width="20.36328125" style="61" customWidth="1"/>
    <col min="12268" max="12268" width="22.90625" style="61" customWidth="1"/>
    <col min="12269" max="12269" width="25.08984375" style="61" customWidth="1"/>
    <col min="12270" max="12517" width="9.90625" style="61"/>
    <col min="12518" max="12518" width="8.36328125" style="61" customWidth="1"/>
    <col min="12519" max="12519" width="14" style="61" customWidth="1"/>
    <col min="12520" max="12520" width="17.90625" style="61" customWidth="1"/>
    <col min="12521" max="12521" width="45" style="61" bestFit="1" customWidth="1"/>
    <col min="12522" max="12522" width="61.6328125" style="61" customWidth="1"/>
    <col min="12523" max="12523" width="20.36328125" style="61" customWidth="1"/>
    <col min="12524" max="12524" width="22.90625" style="61" customWidth="1"/>
    <col min="12525" max="12525" width="25.08984375" style="61" customWidth="1"/>
    <col min="12526" max="12773" width="9.90625" style="61"/>
    <col min="12774" max="12774" width="8.36328125" style="61" customWidth="1"/>
    <col min="12775" max="12775" width="14" style="61" customWidth="1"/>
    <col min="12776" max="12776" width="17.90625" style="61" customWidth="1"/>
    <col min="12777" max="12777" width="45" style="61" bestFit="1" customWidth="1"/>
    <col min="12778" max="12778" width="61.6328125" style="61" customWidth="1"/>
    <col min="12779" max="12779" width="20.36328125" style="61" customWidth="1"/>
    <col min="12780" max="12780" width="22.90625" style="61" customWidth="1"/>
    <col min="12781" max="12781" width="25.08984375" style="61" customWidth="1"/>
    <col min="12782" max="13029" width="9.90625" style="61"/>
    <col min="13030" max="13030" width="8.36328125" style="61" customWidth="1"/>
    <col min="13031" max="13031" width="14" style="61" customWidth="1"/>
    <col min="13032" max="13032" width="17.90625" style="61" customWidth="1"/>
    <col min="13033" max="13033" width="45" style="61" bestFit="1" customWidth="1"/>
    <col min="13034" max="13034" width="61.6328125" style="61" customWidth="1"/>
    <col min="13035" max="13035" width="20.36328125" style="61" customWidth="1"/>
    <col min="13036" max="13036" width="22.90625" style="61" customWidth="1"/>
    <col min="13037" max="13037" width="25.08984375" style="61" customWidth="1"/>
    <col min="13038" max="13285" width="9.90625" style="61"/>
    <col min="13286" max="13286" width="8.36328125" style="61" customWidth="1"/>
    <col min="13287" max="13287" width="14" style="61" customWidth="1"/>
    <col min="13288" max="13288" width="17.90625" style="61" customWidth="1"/>
    <col min="13289" max="13289" width="45" style="61" bestFit="1" customWidth="1"/>
    <col min="13290" max="13290" width="61.6328125" style="61" customWidth="1"/>
    <col min="13291" max="13291" width="20.36328125" style="61" customWidth="1"/>
    <col min="13292" max="13292" width="22.90625" style="61" customWidth="1"/>
    <col min="13293" max="13293" width="25.08984375" style="61" customWidth="1"/>
    <col min="13294" max="13541" width="9.90625" style="61"/>
    <col min="13542" max="13542" width="8.36328125" style="61" customWidth="1"/>
    <col min="13543" max="13543" width="14" style="61" customWidth="1"/>
    <col min="13544" max="13544" width="17.90625" style="61" customWidth="1"/>
    <col min="13545" max="13545" width="45" style="61" bestFit="1" customWidth="1"/>
    <col min="13546" max="13546" width="61.6328125" style="61" customWidth="1"/>
    <col min="13547" max="13547" width="20.36328125" style="61" customWidth="1"/>
    <col min="13548" max="13548" width="22.90625" style="61" customWidth="1"/>
    <col min="13549" max="13549" width="25.08984375" style="61" customWidth="1"/>
    <col min="13550" max="13797" width="9.90625" style="61"/>
    <col min="13798" max="13798" width="8.36328125" style="61" customWidth="1"/>
    <col min="13799" max="13799" width="14" style="61" customWidth="1"/>
    <col min="13800" max="13800" width="17.90625" style="61" customWidth="1"/>
    <col min="13801" max="13801" width="45" style="61" bestFit="1" customWidth="1"/>
    <col min="13802" max="13802" width="61.6328125" style="61" customWidth="1"/>
    <col min="13803" max="13803" width="20.36328125" style="61" customWidth="1"/>
    <col min="13804" max="13804" width="22.90625" style="61" customWidth="1"/>
    <col min="13805" max="13805" width="25.08984375" style="61" customWidth="1"/>
    <col min="13806" max="14053" width="9.90625" style="61"/>
    <col min="14054" max="14054" width="8.36328125" style="61" customWidth="1"/>
    <col min="14055" max="14055" width="14" style="61" customWidth="1"/>
    <col min="14056" max="14056" width="17.90625" style="61" customWidth="1"/>
    <col min="14057" max="14057" width="45" style="61" bestFit="1" customWidth="1"/>
    <col min="14058" max="14058" width="61.6328125" style="61" customWidth="1"/>
    <col min="14059" max="14059" width="20.36328125" style="61" customWidth="1"/>
    <col min="14060" max="14060" width="22.90625" style="61" customWidth="1"/>
    <col min="14061" max="14061" width="25.08984375" style="61" customWidth="1"/>
    <col min="14062" max="14309" width="9.90625" style="61"/>
    <col min="14310" max="14310" width="8.36328125" style="61" customWidth="1"/>
    <col min="14311" max="14311" width="14" style="61" customWidth="1"/>
    <col min="14312" max="14312" width="17.90625" style="61" customWidth="1"/>
    <col min="14313" max="14313" width="45" style="61" bestFit="1" customWidth="1"/>
    <col min="14314" max="14314" width="61.6328125" style="61" customWidth="1"/>
    <col min="14315" max="14315" width="20.36328125" style="61" customWidth="1"/>
    <col min="14316" max="14316" width="22.90625" style="61" customWidth="1"/>
    <col min="14317" max="14317" width="25.08984375" style="61" customWidth="1"/>
    <col min="14318" max="14565" width="9.90625" style="61"/>
    <col min="14566" max="14566" width="8.36328125" style="61" customWidth="1"/>
    <col min="14567" max="14567" width="14" style="61" customWidth="1"/>
    <col min="14568" max="14568" width="17.90625" style="61" customWidth="1"/>
    <col min="14569" max="14569" width="45" style="61" bestFit="1" customWidth="1"/>
    <col min="14570" max="14570" width="61.6328125" style="61" customWidth="1"/>
    <col min="14571" max="14571" width="20.36328125" style="61" customWidth="1"/>
    <col min="14572" max="14572" width="22.90625" style="61" customWidth="1"/>
    <col min="14573" max="14573" width="25.08984375" style="61" customWidth="1"/>
    <col min="14574" max="14821" width="9.90625" style="61"/>
    <col min="14822" max="14822" width="8.36328125" style="61" customWidth="1"/>
    <col min="14823" max="14823" width="14" style="61" customWidth="1"/>
    <col min="14824" max="14824" width="17.90625" style="61" customWidth="1"/>
    <col min="14825" max="14825" width="45" style="61" bestFit="1" customWidth="1"/>
    <col min="14826" max="14826" width="61.6328125" style="61" customWidth="1"/>
    <col min="14827" max="14827" width="20.36328125" style="61" customWidth="1"/>
    <col min="14828" max="14828" width="22.90625" style="61" customWidth="1"/>
    <col min="14829" max="14829" width="25.08984375" style="61" customWidth="1"/>
    <col min="14830" max="15077" width="9.90625" style="61"/>
    <col min="15078" max="15078" width="8.36328125" style="61" customWidth="1"/>
    <col min="15079" max="15079" width="14" style="61" customWidth="1"/>
    <col min="15080" max="15080" width="17.90625" style="61" customWidth="1"/>
    <col min="15081" max="15081" width="45" style="61" bestFit="1" customWidth="1"/>
    <col min="15082" max="15082" width="61.6328125" style="61" customWidth="1"/>
    <col min="15083" max="15083" width="20.36328125" style="61" customWidth="1"/>
    <col min="15084" max="15084" width="22.90625" style="61" customWidth="1"/>
    <col min="15085" max="15085" width="25.08984375" style="61" customWidth="1"/>
    <col min="15086" max="15333" width="9.90625" style="61"/>
    <col min="15334" max="15334" width="8.36328125" style="61" customWidth="1"/>
    <col min="15335" max="15335" width="14" style="61" customWidth="1"/>
    <col min="15336" max="15336" width="17.90625" style="61" customWidth="1"/>
    <col min="15337" max="15337" width="45" style="61" bestFit="1" customWidth="1"/>
    <col min="15338" max="15338" width="61.6328125" style="61" customWidth="1"/>
    <col min="15339" max="15339" width="20.36328125" style="61" customWidth="1"/>
    <col min="15340" max="15340" width="22.90625" style="61" customWidth="1"/>
    <col min="15341" max="15341" width="25.08984375" style="61" customWidth="1"/>
    <col min="15342" max="15589" width="9.90625" style="61"/>
    <col min="15590" max="15590" width="8.36328125" style="61" customWidth="1"/>
    <col min="15591" max="15591" width="14" style="61" customWidth="1"/>
    <col min="15592" max="15592" width="17.90625" style="61" customWidth="1"/>
    <col min="15593" max="15593" width="45" style="61" bestFit="1" customWidth="1"/>
    <col min="15594" max="15594" width="61.6328125" style="61" customWidth="1"/>
    <col min="15595" max="15595" width="20.36328125" style="61" customWidth="1"/>
    <col min="15596" max="15596" width="22.90625" style="61" customWidth="1"/>
    <col min="15597" max="15597" width="25.08984375" style="61" customWidth="1"/>
    <col min="15598" max="15845" width="9.90625" style="61"/>
    <col min="15846" max="15846" width="8.36328125" style="61" customWidth="1"/>
    <col min="15847" max="15847" width="14" style="61" customWidth="1"/>
    <col min="15848" max="15848" width="17.90625" style="61" customWidth="1"/>
    <col min="15849" max="15849" width="45" style="61" bestFit="1" customWidth="1"/>
    <col min="15850" max="15850" width="61.6328125" style="61" customWidth="1"/>
    <col min="15851" max="15851" width="20.36328125" style="61" customWidth="1"/>
    <col min="15852" max="15852" width="22.90625" style="61" customWidth="1"/>
    <col min="15853" max="15853" width="25.08984375" style="61" customWidth="1"/>
    <col min="15854" max="16101" width="9.90625" style="61"/>
    <col min="16102" max="16102" width="8.36328125" style="61" customWidth="1"/>
    <col min="16103" max="16103" width="14" style="61" customWidth="1"/>
    <col min="16104" max="16104" width="17.90625" style="61" customWidth="1"/>
    <col min="16105" max="16105" width="45" style="61" bestFit="1" customWidth="1"/>
    <col min="16106" max="16106" width="61.6328125" style="61" customWidth="1"/>
    <col min="16107" max="16107" width="20.36328125" style="61" customWidth="1"/>
    <col min="16108" max="16108" width="22.90625" style="61" customWidth="1"/>
    <col min="16109" max="16109" width="25.08984375" style="61" customWidth="1"/>
    <col min="16110" max="16384" width="9.9062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5" customHeight="1">
      <c r="A3" s="71"/>
      <c r="B3" s="992" t="s">
        <v>274</v>
      </c>
      <c r="C3" s="992"/>
      <c r="D3" s="992"/>
      <c r="E3" s="992"/>
      <c r="F3" s="992"/>
      <c r="G3" s="992"/>
      <c r="H3" s="992"/>
      <c r="I3" s="992"/>
      <c r="J3" s="71"/>
    </row>
    <row r="4" spans="1:10" s="72" customFormat="1" ht="25.15" customHeight="1">
      <c r="A4" s="71"/>
      <c r="B4" s="989" t="s">
        <v>275</v>
      </c>
      <c r="C4" s="990"/>
      <c r="D4" s="990"/>
      <c r="E4" s="990"/>
      <c r="F4" s="990"/>
      <c r="G4" s="990"/>
      <c r="H4" s="990"/>
      <c r="I4" s="991"/>
      <c r="J4" s="71"/>
    </row>
    <row r="5" spans="1:10" s="72" customFormat="1" ht="25.15" customHeight="1">
      <c r="A5" s="71"/>
      <c r="B5" s="165" t="s">
        <v>276</v>
      </c>
      <c r="C5" s="989" t="s">
        <v>277</v>
      </c>
      <c r="D5" s="990"/>
      <c r="E5" s="990"/>
      <c r="F5" s="990"/>
      <c r="G5" s="990"/>
      <c r="H5" s="990"/>
      <c r="I5" s="991"/>
      <c r="J5" s="71"/>
    </row>
    <row r="6" spans="1:10" s="72" customFormat="1" ht="25.15" customHeight="1">
      <c r="A6" s="71"/>
      <c r="B6" s="165" t="s">
        <v>278</v>
      </c>
      <c r="C6" s="989" t="s">
        <v>279</v>
      </c>
      <c r="D6" s="990"/>
      <c r="E6" s="990"/>
      <c r="F6" s="990"/>
      <c r="G6" s="990"/>
      <c r="H6" s="990"/>
      <c r="I6" s="991"/>
      <c r="J6" s="71"/>
    </row>
    <row r="7" spans="1:10" s="72" customFormat="1" ht="25.15" customHeight="1">
      <c r="A7" s="71"/>
      <c r="B7" s="165" t="s">
        <v>280</v>
      </c>
      <c r="C7" s="989" t="s">
        <v>281</v>
      </c>
      <c r="D7" s="990"/>
      <c r="E7" s="990"/>
      <c r="F7" s="990"/>
      <c r="G7" s="990"/>
      <c r="H7" s="990"/>
      <c r="I7" s="991"/>
      <c r="J7" s="71"/>
    </row>
    <row r="8" spans="1:10" s="72" customFormat="1" ht="25.15" customHeight="1">
      <c r="A8" s="71"/>
      <c r="B8" s="166"/>
      <c r="C8" s="71"/>
      <c r="D8" s="167"/>
      <c r="E8" s="167"/>
      <c r="F8" s="167"/>
      <c r="G8" s="167"/>
      <c r="H8" s="167"/>
      <c r="I8" s="167"/>
      <c r="J8" s="71"/>
    </row>
    <row r="9" spans="1:10" s="72" customFormat="1" ht="36" customHeight="1">
      <c r="A9" s="71"/>
      <c r="B9" s="992" t="s">
        <v>282</v>
      </c>
      <c r="C9" s="992"/>
      <c r="D9" s="992"/>
      <c r="E9" s="992"/>
      <c r="F9" s="992"/>
      <c r="G9" s="992"/>
      <c r="H9" s="992"/>
      <c r="I9" s="992"/>
      <c r="J9" s="71"/>
    </row>
    <row r="10" spans="1:10" s="72" customFormat="1" ht="25.15" customHeight="1">
      <c r="A10" s="71"/>
      <c r="B10" s="989" t="s">
        <v>283</v>
      </c>
      <c r="C10" s="990"/>
      <c r="D10" s="990"/>
      <c r="E10" s="990"/>
      <c r="F10" s="990"/>
      <c r="G10" s="990"/>
      <c r="H10" s="990"/>
      <c r="I10" s="991"/>
      <c r="J10" s="71"/>
    </row>
    <row r="11" spans="1:10" s="72" customFormat="1" ht="56.5" customHeight="1">
      <c r="A11" s="71"/>
      <c r="B11" s="993" t="s">
        <v>284</v>
      </c>
      <c r="C11" s="986" t="s">
        <v>285</v>
      </c>
      <c r="D11" s="987"/>
      <c r="E11" s="987"/>
      <c r="F11" s="987"/>
      <c r="G11" s="987"/>
      <c r="H11" s="987"/>
      <c r="I11" s="988"/>
      <c r="J11" s="71"/>
    </row>
    <row r="12" spans="1:10" s="72" customFormat="1" ht="54.65" customHeight="1">
      <c r="A12" s="71"/>
      <c r="B12" s="993"/>
      <c r="C12" s="994" t="s">
        <v>286</v>
      </c>
      <c r="D12" s="165" t="s">
        <v>287</v>
      </c>
      <c r="E12" s="986" t="s">
        <v>288</v>
      </c>
      <c r="F12" s="987"/>
      <c r="G12" s="987"/>
      <c r="H12" s="987"/>
      <c r="I12" s="988"/>
      <c r="J12" s="168"/>
    </row>
    <row r="13" spans="1:10" s="72" customFormat="1" ht="32.5" customHeight="1">
      <c r="A13" s="71"/>
      <c r="B13" s="993"/>
      <c r="C13" s="995"/>
      <c r="D13" s="165" t="s">
        <v>289</v>
      </c>
      <c r="E13" s="986" t="s">
        <v>290</v>
      </c>
      <c r="F13" s="987"/>
      <c r="G13" s="987"/>
      <c r="H13" s="987"/>
      <c r="I13" s="988"/>
      <c r="J13" s="168"/>
    </row>
    <row r="14" spans="1:10" s="72" customFormat="1" ht="25.15" customHeight="1">
      <c r="A14" s="71"/>
      <c r="B14" s="165" t="s">
        <v>291</v>
      </c>
      <c r="C14" s="989" t="s">
        <v>292</v>
      </c>
      <c r="D14" s="990"/>
      <c r="E14" s="990"/>
      <c r="F14" s="990"/>
      <c r="G14" s="990"/>
      <c r="H14" s="990"/>
      <c r="I14" s="991"/>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7">
      <c r="A20" s="982" t="s">
        <v>295</v>
      </c>
      <c r="B20" s="983"/>
      <c r="C20" s="65" t="s">
        <v>296</v>
      </c>
      <c r="D20" s="66" t="s">
        <v>297</v>
      </c>
      <c r="E20" s="66" t="s">
        <v>298</v>
      </c>
      <c r="F20" s="66" t="s">
        <v>299</v>
      </c>
      <c r="G20" s="67"/>
      <c r="H20" s="67"/>
      <c r="I20" s="67"/>
    </row>
    <row r="21" spans="1:10" ht="94">
      <c r="A21" s="984" t="s">
        <v>300</v>
      </c>
      <c r="B21" s="983"/>
      <c r="C21" s="68" t="s">
        <v>301</v>
      </c>
      <c r="D21" s="68" t="s">
        <v>302</v>
      </c>
      <c r="E21" s="68" t="s">
        <v>303</v>
      </c>
      <c r="F21" s="68" t="s">
        <v>304</v>
      </c>
      <c r="G21" s="67"/>
      <c r="H21" s="67"/>
      <c r="I21" s="67"/>
    </row>
    <row r="22" spans="1:10" ht="81.5">
      <c r="A22" s="984" t="s">
        <v>305</v>
      </c>
      <c r="B22" s="983"/>
      <c r="C22" s="68" t="s">
        <v>306</v>
      </c>
      <c r="D22" s="68" t="s">
        <v>307</v>
      </c>
      <c r="E22" s="68" t="s">
        <v>308</v>
      </c>
      <c r="F22" s="69" t="s">
        <v>309</v>
      </c>
      <c r="G22" s="60"/>
      <c r="H22" s="60"/>
      <c r="I22" s="60"/>
    </row>
    <row r="23" spans="1:10" ht="81.5">
      <c r="A23" s="984" t="s">
        <v>310</v>
      </c>
      <c r="B23" s="983"/>
      <c r="C23" s="68" t="s">
        <v>311</v>
      </c>
      <c r="D23" s="68" t="s">
        <v>312</v>
      </c>
      <c r="E23" s="68" t="s">
        <v>313</v>
      </c>
      <c r="F23" s="69" t="s">
        <v>314</v>
      </c>
      <c r="G23" s="60"/>
      <c r="H23" s="60"/>
      <c r="I23" s="60"/>
    </row>
    <row r="24" spans="1:10">
      <c r="A24" s="60"/>
      <c r="B24" s="60"/>
      <c r="C24" s="60"/>
      <c r="D24" s="60"/>
      <c r="E24" s="60"/>
      <c r="F24" s="60"/>
      <c r="G24" s="60"/>
      <c r="H24" s="60"/>
      <c r="I24" s="60"/>
    </row>
    <row r="25" spans="1:10" ht="23.5">
      <c r="A25" s="985" t="s">
        <v>315</v>
      </c>
      <c r="B25" s="985"/>
      <c r="C25" s="985"/>
      <c r="D25" s="985"/>
      <c r="E25" s="985"/>
      <c r="F25" s="985"/>
      <c r="G25" s="985"/>
      <c r="H25" s="985"/>
      <c r="I25" s="985"/>
    </row>
    <row r="26" spans="1:10" ht="23.5">
      <c r="A26" s="62" t="s">
        <v>316</v>
      </c>
      <c r="B26" s="62"/>
      <c r="C26" s="62"/>
      <c r="D26" s="62"/>
      <c r="E26" s="62"/>
      <c r="F26" s="62"/>
      <c r="G26" s="62"/>
      <c r="H26" s="62"/>
      <c r="I26" s="62"/>
    </row>
    <row r="27" spans="1:10" ht="23.5">
      <c r="A27" s="979" t="s">
        <v>317</v>
      </c>
      <c r="B27" s="980"/>
      <c r="C27" s="980"/>
      <c r="D27" s="980"/>
      <c r="E27" s="980"/>
      <c r="F27" s="980"/>
      <c r="G27" s="980"/>
      <c r="H27" s="980"/>
      <c r="I27" s="981"/>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3.5" thickBot="1">
      <c r="A2" s="1003" t="s">
        <v>329</v>
      </c>
      <c r="B2" s="998" t="s">
        <v>330</v>
      </c>
      <c r="C2" s="1001" t="s">
        <v>331</v>
      </c>
      <c r="D2" s="1001"/>
      <c r="E2" s="1001"/>
      <c r="F2" s="1002"/>
      <c r="G2" s="1000" t="s">
        <v>332</v>
      </c>
      <c r="H2" s="1001"/>
      <c r="I2" s="1001"/>
      <c r="J2" s="1001"/>
      <c r="K2" s="1001"/>
      <c r="L2" s="1001"/>
      <c r="M2" s="1002"/>
      <c r="N2" s="1000" t="s">
        <v>271</v>
      </c>
      <c r="O2" s="1006" t="s">
        <v>333</v>
      </c>
      <c r="Q2" s="1008" t="s">
        <v>334</v>
      </c>
      <c r="R2" s="1009"/>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4" thickBot="1">
      <c r="A3" s="1004"/>
      <c r="B3" s="999"/>
      <c r="C3" s="221" t="s">
        <v>252</v>
      </c>
      <c r="D3" s="222" t="s">
        <v>347</v>
      </c>
      <c r="E3" s="222" t="s">
        <v>270</v>
      </c>
      <c r="F3" s="222" t="s">
        <v>348</v>
      </c>
      <c r="G3" s="221" t="s">
        <v>349</v>
      </c>
      <c r="H3" s="221" t="s">
        <v>350</v>
      </c>
      <c r="I3" s="222" t="s">
        <v>351</v>
      </c>
      <c r="J3" s="222" t="s">
        <v>352</v>
      </c>
      <c r="K3" s="222" t="s">
        <v>353</v>
      </c>
      <c r="L3" s="222" t="s">
        <v>354</v>
      </c>
      <c r="M3" s="268" t="s">
        <v>355</v>
      </c>
      <c r="N3" s="1005"/>
      <c r="O3" s="1007"/>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4"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7" t="s">
        <v>343</v>
      </c>
    </row>
    <row r="5" spans="1:60" ht="14"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4"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4"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4"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4"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4"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4"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4"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4"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4"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4"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4"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4"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4"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4"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4"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4"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47" t="s">
        <v>2494</v>
      </c>
    </row>
    <row r="22" spans="1:58" ht="14"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24.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4"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4"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4"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4"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4"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4"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4"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4"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4"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4"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4"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4"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4"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4"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4"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4"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4"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4"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4"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4" thickBot="1">
      <c r="A45" s="200"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4" thickBot="1">
      <c r="A46" s="200"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4" thickBot="1">
      <c r="A47" s="200"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200"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200"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4" thickBot="1">
      <c r="A50" s="200"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4"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996" t="s">
        <v>749</v>
      </c>
      <c r="AS51" s="996"/>
      <c r="AT51" s="996"/>
      <c r="AU51" s="996"/>
      <c r="AV51" s="2"/>
      <c r="AX51" s="138" t="s">
        <v>750</v>
      </c>
      <c r="AY51" s="316" t="s">
        <v>727</v>
      </c>
      <c r="AZ51" s="28" t="s">
        <v>261</v>
      </c>
      <c r="BA51" s="29" t="s">
        <v>376</v>
      </c>
      <c r="BB51" s="127" t="s">
        <v>263</v>
      </c>
      <c r="BC51" s="135"/>
      <c r="BD51" s="317"/>
    </row>
    <row r="52" spans="1:56" ht="14"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997" t="s">
        <v>755</v>
      </c>
      <c r="AS52" s="997"/>
      <c r="AT52" s="997"/>
      <c r="AU52" s="997"/>
      <c r="AV52" s="2"/>
      <c r="AX52" s="139" t="s">
        <v>756</v>
      </c>
      <c r="AY52" s="316" t="s">
        <v>737</v>
      </c>
      <c r="AZ52" s="28" t="s">
        <v>261</v>
      </c>
      <c r="BA52" s="29" t="s">
        <v>376</v>
      </c>
      <c r="BB52" s="127" t="s">
        <v>263</v>
      </c>
      <c r="BC52" s="135"/>
      <c r="BD52" s="317"/>
    </row>
    <row r="53" spans="1:56" ht="14"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997"/>
      <c r="AS53" s="997"/>
      <c r="AT53" s="997"/>
      <c r="AU53" s="997"/>
      <c r="AV53" s="2"/>
      <c r="AX53" s="144" t="s">
        <v>743</v>
      </c>
      <c r="AY53" s="307" t="str">
        <f t="shared" ref="AY53:AY59" si="1">AX53&amp;"R8"</f>
        <v>介護予防ケアマネジメントR8</v>
      </c>
      <c r="AZ53" s="142" t="s">
        <v>261</v>
      </c>
      <c r="BA53" s="143" t="s">
        <v>272</v>
      </c>
      <c r="BB53" s="143" t="s">
        <v>744</v>
      </c>
      <c r="BC53" s="5" t="s">
        <v>160</v>
      </c>
      <c r="BD53" s="318"/>
    </row>
    <row r="54" spans="1:56" ht="14"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4"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4"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4"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4"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4"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4"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4"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4"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4"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4"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3.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3.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3.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3.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3.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3.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3.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3.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3.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3.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3.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3.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3.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3.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3.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3.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3.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3.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3.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3.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3.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3.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3.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3.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3.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3.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3.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3.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3.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3.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3.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3.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3.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3.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3.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3.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3.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3.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3.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3.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3.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3.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3.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3.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3.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3.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3.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3.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3.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3.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3.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3.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3.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3.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3.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3.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3.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3.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3.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3.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3.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3.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3.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3.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3.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3.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3.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3.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3.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3.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3.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3.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3.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3.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3.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3.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3.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3.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3.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3.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3.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3.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3.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3.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3.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3.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3.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3.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3.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3.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3.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3.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3.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3.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3.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3.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3.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3.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3.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3.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3.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3.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3.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3.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3.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3.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3.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3.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3.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3.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3.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3.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3.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3.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3.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3.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3.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3.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3.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3.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3.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3.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3.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3.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3.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3.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2026-03-16T23:51:55Z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